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Websites\Pscweb\utilities\electric\20docs\2003514\"/>
    </mc:Choice>
  </mc:AlternateContent>
  <bookViews>
    <workbookView xWindow="0" yWindow="0" windowWidth="19125" windowHeight="11520"/>
  </bookViews>
  <sheets>
    <sheet name="Summary" sheetId="2" r:id="rId1"/>
    <sheet name="2017 Dashboard" sheetId="1" r:id="rId2"/>
    <sheet name="2018 Dashboard" sheetId="4" r:id="rId3"/>
    <sheet name="2019 Dashboard" sheetId="6" r:id="rId4"/>
    <sheet name="Solar Credits Donated"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F19" i="2"/>
  <c r="F37" i="5" l="1"/>
  <c r="F17" i="2" l="1"/>
  <c r="M40" i="6"/>
  <c r="G61" i="6" l="1"/>
  <c r="H59" i="6" l="1"/>
  <c r="H58" i="6"/>
  <c r="H57" i="6"/>
  <c r="H56" i="6"/>
  <c r="H55" i="6"/>
  <c r="H54" i="6"/>
  <c r="H53" i="6"/>
  <c r="H52" i="6"/>
  <c r="H51" i="6"/>
  <c r="H50" i="6"/>
  <c r="H49" i="6"/>
  <c r="H48" i="6"/>
  <c r="G28" i="6"/>
  <c r="G29" i="6"/>
  <c r="G30" i="6"/>
  <c r="G31" i="6"/>
  <c r="G32" i="6"/>
  <c r="J40" i="6" l="1"/>
  <c r="I40" i="6"/>
  <c r="H40" i="6"/>
  <c r="F40" i="6"/>
  <c r="D40" i="6"/>
  <c r="B40" i="6"/>
  <c r="K39" i="6"/>
  <c r="G39" i="6"/>
  <c r="K38" i="6"/>
  <c r="G38" i="6"/>
  <c r="K37" i="6"/>
  <c r="G37" i="6"/>
  <c r="K36" i="6"/>
  <c r="G36" i="6"/>
  <c r="K35" i="6"/>
  <c r="G35" i="6"/>
  <c r="K34" i="6"/>
  <c r="G34" i="6"/>
  <c r="K33" i="6"/>
  <c r="G33" i="6"/>
  <c r="K32" i="6"/>
  <c r="L32" i="6" s="1"/>
  <c r="N32" i="6" s="1"/>
  <c r="K31" i="6"/>
  <c r="K30" i="6"/>
  <c r="K29" i="6"/>
  <c r="K28" i="6"/>
  <c r="L28" i="6" s="1"/>
  <c r="N28" i="6" s="1"/>
  <c r="L35" i="6" l="1"/>
  <c r="N35" i="6" s="1"/>
  <c r="L36" i="6"/>
  <c r="N36" i="6" s="1"/>
  <c r="L29" i="6"/>
  <c r="N29" i="6" s="1"/>
  <c r="L33" i="6"/>
  <c r="N33" i="6" s="1"/>
  <c r="L37" i="6"/>
  <c r="N37" i="6" s="1"/>
  <c r="L30" i="6"/>
  <c r="N30" i="6" s="1"/>
  <c r="L34" i="6"/>
  <c r="N34" i="6" s="1"/>
  <c r="L38" i="6"/>
  <c r="N38" i="6" s="1"/>
  <c r="L39" i="6"/>
  <c r="N39" i="6" s="1"/>
  <c r="K40" i="6"/>
  <c r="F16" i="2" s="1"/>
  <c r="G40" i="6"/>
  <c r="F15" i="2" s="1"/>
  <c r="L31" i="6"/>
  <c r="N31" i="6" s="1"/>
  <c r="F18" i="2" l="1"/>
  <c r="L40" i="6"/>
  <c r="N40" i="6" s="1"/>
  <c r="H14" i="6" l="1"/>
  <c r="G14" i="6" l="1"/>
  <c r="G13" i="6"/>
  <c r="H13" i="6" l="1"/>
  <c r="G12" i="6" l="1"/>
  <c r="H12" i="6" l="1"/>
  <c r="G10" i="4"/>
  <c r="H10" i="4"/>
  <c r="G11" i="4"/>
  <c r="H11" i="4"/>
  <c r="G12" i="4"/>
  <c r="H12" i="4"/>
  <c r="G13" i="4"/>
  <c r="H13" i="4"/>
  <c r="G14" i="4"/>
  <c r="H14" i="4"/>
  <c r="G15" i="4"/>
  <c r="H15" i="4"/>
  <c r="G16" i="4"/>
  <c r="H16" i="4"/>
  <c r="G17" i="4"/>
  <c r="H17" i="4"/>
  <c r="J13" i="6" l="1"/>
  <c r="J14" i="6"/>
  <c r="G15" i="6"/>
  <c r="K13" i="6"/>
  <c r="G17" i="6"/>
  <c r="G16" i="6"/>
  <c r="K14" i="6"/>
  <c r="F61" i="6"/>
  <c r="E61" i="6"/>
  <c r="I42" i="6"/>
  <c r="D42" i="6"/>
  <c r="B42" i="6"/>
  <c r="K24" i="6"/>
  <c r="G24" i="6"/>
  <c r="O19" i="6"/>
  <c r="N19" i="6"/>
  <c r="F18" i="6"/>
  <c r="F19" i="6" s="1"/>
  <c r="E18" i="6"/>
  <c r="E19" i="6" s="1"/>
  <c r="C18" i="6"/>
  <c r="C19" i="6" s="1"/>
  <c r="P17" i="6"/>
  <c r="P16" i="6"/>
  <c r="P15" i="6"/>
  <c r="P14" i="6"/>
  <c r="P13" i="6"/>
  <c r="P12" i="6"/>
  <c r="K12" i="6"/>
  <c r="J12" i="6"/>
  <c r="P11" i="6"/>
  <c r="K11" i="6"/>
  <c r="J11" i="6"/>
  <c r="P10" i="6"/>
  <c r="H10" i="6"/>
  <c r="G10" i="6"/>
  <c r="P9" i="6"/>
  <c r="H9" i="6"/>
  <c r="G9" i="6"/>
  <c r="P8" i="6"/>
  <c r="H8" i="6"/>
  <c r="G8" i="6"/>
  <c r="P7" i="6"/>
  <c r="H7" i="6"/>
  <c r="G7" i="6"/>
  <c r="P6" i="6"/>
  <c r="H6" i="6"/>
  <c r="G6" i="6"/>
  <c r="K7" i="6" l="1"/>
  <c r="K9" i="6"/>
  <c r="K10" i="6"/>
  <c r="K8" i="6"/>
  <c r="L24" i="6"/>
  <c r="N24" i="6" s="1"/>
  <c r="H42" i="6"/>
  <c r="J42" i="6"/>
  <c r="M42" i="6"/>
  <c r="F42" i="6"/>
  <c r="H61" i="6"/>
  <c r="G42" i="6"/>
  <c r="J9" i="6"/>
  <c r="J10" i="6"/>
  <c r="L10" i="6" s="1"/>
  <c r="J15" i="6"/>
  <c r="J7" i="6"/>
  <c r="L7" i="6" s="1"/>
  <c r="J8" i="6"/>
  <c r="J16" i="6"/>
  <c r="J17" i="6"/>
  <c r="J6" i="6"/>
  <c r="B18" i="6"/>
  <c r="B19" i="6" s="1"/>
  <c r="H15" i="6"/>
  <c r="L12" i="6"/>
  <c r="L14" i="6"/>
  <c r="K6" i="6"/>
  <c r="P19" i="6"/>
  <c r="L11" i="6"/>
  <c r="L13" i="6"/>
  <c r="G18" i="6"/>
  <c r="G19" i="6" s="1"/>
  <c r="L9" i="6" l="1"/>
  <c r="L8" i="6"/>
  <c r="L6" i="6"/>
  <c r="K42" i="6"/>
  <c r="E9" i="2"/>
  <c r="J19" i="6"/>
  <c r="D9" i="2" s="1"/>
  <c r="K15" i="6"/>
  <c r="L15" i="6" s="1"/>
  <c r="H16" i="6"/>
  <c r="H17" i="6"/>
  <c r="L42" i="6" l="1"/>
  <c r="K16" i="6"/>
  <c r="L16" i="6" s="1"/>
  <c r="K17" i="6"/>
  <c r="L17" i="6" s="1"/>
  <c r="H18" i="6"/>
  <c r="H19" i="6" s="1"/>
  <c r="D18" i="6"/>
  <c r="D19" i="6" s="1"/>
  <c r="B30" i="2"/>
  <c r="E26" i="5"/>
  <c r="E25" i="5"/>
  <c r="E22" i="5"/>
  <c r="D22" i="5"/>
  <c r="F22" i="5" s="1"/>
  <c r="E21" i="5"/>
  <c r="D21" i="5"/>
  <c r="F21" i="5" s="1"/>
  <c r="B12" i="5"/>
  <c r="B10" i="5"/>
  <c r="B6" i="5"/>
  <c r="B14" i="5" s="1"/>
  <c r="N42" i="6" l="1"/>
  <c r="N43" i="6" s="1"/>
  <c r="H20" i="6"/>
  <c r="F10" i="2" s="1"/>
  <c r="E10" i="2"/>
  <c r="E11" i="2" s="1"/>
  <c r="L19" i="6"/>
  <c r="K19" i="6"/>
  <c r="D10" i="2" s="1"/>
  <c r="B26" i="5"/>
  <c r="D26" i="5" s="1"/>
  <c r="F26" i="5" s="1"/>
  <c r="B25" i="5"/>
  <c r="D25" i="5" s="1"/>
  <c r="F25" i="5" s="1"/>
  <c r="F29" i="5" s="1"/>
  <c r="F31" i="5" s="1"/>
  <c r="C30" i="2" s="1"/>
  <c r="F9" i="2" l="1"/>
  <c r="F11" i="2" s="1"/>
  <c r="B19" i="2"/>
  <c r="E17" i="2" l="1"/>
  <c r="H7" i="4" l="1"/>
  <c r="K7" i="4" s="1"/>
  <c r="H8" i="4"/>
  <c r="K8" i="4" s="1"/>
  <c r="H9" i="4"/>
  <c r="K9" i="4" s="1"/>
  <c r="K10" i="4"/>
  <c r="K11" i="4"/>
  <c r="K12" i="4"/>
  <c r="K13" i="4"/>
  <c r="K14" i="4"/>
  <c r="K15" i="4"/>
  <c r="K16" i="4"/>
  <c r="K17" i="4"/>
  <c r="G7" i="4"/>
  <c r="J7" i="4" s="1"/>
  <c r="G8" i="4"/>
  <c r="J8" i="4" s="1"/>
  <c r="G9" i="4"/>
  <c r="J9" i="4" s="1"/>
  <c r="J10" i="4"/>
  <c r="J11" i="4"/>
  <c r="J12" i="4"/>
  <c r="J13" i="4"/>
  <c r="J14" i="4"/>
  <c r="J15" i="4"/>
  <c r="J16" i="4"/>
  <c r="J17" i="4"/>
  <c r="P7" i="4" l="1"/>
  <c r="P8" i="4"/>
  <c r="P9" i="4"/>
  <c r="P10" i="4"/>
  <c r="P11" i="4"/>
  <c r="P12" i="4"/>
  <c r="P13" i="4"/>
  <c r="P14" i="4"/>
  <c r="P15" i="4"/>
  <c r="P16" i="4"/>
  <c r="P17" i="4"/>
  <c r="P6" i="4"/>
  <c r="F60" i="4"/>
  <c r="E60" i="4"/>
  <c r="G58" i="4"/>
  <c r="G57" i="4"/>
  <c r="G56" i="4"/>
  <c r="G55" i="4"/>
  <c r="G54" i="4"/>
  <c r="G53" i="4"/>
  <c r="G52" i="4"/>
  <c r="G51" i="4"/>
  <c r="G50" i="4"/>
  <c r="G49" i="4"/>
  <c r="G48" i="4"/>
  <c r="G47" i="4"/>
  <c r="G60" i="4" l="1"/>
  <c r="K38" i="4" l="1"/>
  <c r="K37" i="4"/>
  <c r="K36" i="4"/>
  <c r="K35" i="4"/>
  <c r="K34" i="4"/>
  <c r="K33" i="4"/>
  <c r="K32" i="4"/>
  <c r="K31" i="4"/>
  <c r="K30" i="4"/>
  <c r="K29" i="4"/>
  <c r="K28" i="4"/>
  <c r="K27" i="4"/>
  <c r="G38" i="4"/>
  <c r="G37" i="4"/>
  <c r="G36" i="4"/>
  <c r="G35" i="4"/>
  <c r="G34" i="4"/>
  <c r="G33" i="4"/>
  <c r="G32" i="4"/>
  <c r="G31" i="4"/>
  <c r="G30" i="4"/>
  <c r="G29" i="4"/>
  <c r="G28" i="4"/>
  <c r="G27" i="4"/>
  <c r="M39" i="4"/>
  <c r="E19" i="2" s="1"/>
  <c r="J39" i="4"/>
  <c r="I39" i="4"/>
  <c r="H39" i="4"/>
  <c r="F39" i="4"/>
  <c r="D39" i="4"/>
  <c r="B39" i="4"/>
  <c r="L30" i="4" l="1"/>
  <c r="N30" i="4" s="1"/>
  <c r="L34" i="4"/>
  <c r="N34" i="4" s="1"/>
  <c r="L38" i="4"/>
  <c r="N38" i="4" s="1"/>
  <c r="G39" i="4"/>
  <c r="E15" i="2" s="1"/>
  <c r="K39" i="4"/>
  <c r="E16" i="2" s="1"/>
  <c r="L31" i="4"/>
  <c r="N31" i="4" s="1"/>
  <c r="L35" i="4"/>
  <c r="N35" i="4" s="1"/>
  <c r="L28" i="4"/>
  <c r="N28" i="4" s="1"/>
  <c r="L32" i="4"/>
  <c r="N32" i="4" s="1"/>
  <c r="L36" i="4"/>
  <c r="N36" i="4" s="1"/>
  <c r="L29" i="4"/>
  <c r="N29" i="4" s="1"/>
  <c r="L33" i="4"/>
  <c r="N33" i="4" s="1"/>
  <c r="L37" i="4"/>
  <c r="N37" i="4" s="1"/>
  <c r="L27" i="4"/>
  <c r="E18" i="2" l="1"/>
  <c r="L39" i="4"/>
  <c r="N39" i="4" s="1"/>
  <c r="N27" i="4"/>
  <c r="E20" i="2" l="1"/>
  <c r="D19" i="2"/>
  <c r="F41" i="4"/>
  <c r="C19" i="2"/>
  <c r="G19" i="2" s="1"/>
  <c r="K24" i="4"/>
  <c r="G24" i="4"/>
  <c r="P19" i="4"/>
  <c r="O19" i="4"/>
  <c r="N19" i="4"/>
  <c r="F18" i="4"/>
  <c r="F19" i="4" s="1"/>
  <c r="E18" i="4"/>
  <c r="E19" i="4" s="1"/>
  <c r="D18" i="4"/>
  <c r="D19" i="4" s="1"/>
  <c r="C18" i="4"/>
  <c r="C19" i="4" s="1"/>
  <c r="B18" i="4"/>
  <c r="B19" i="4" s="1"/>
  <c r="L14" i="4"/>
  <c r="L10" i="4"/>
  <c r="H6" i="4"/>
  <c r="H18" i="4" s="1"/>
  <c r="G6" i="4"/>
  <c r="B41" i="4" l="1"/>
  <c r="D41" i="4"/>
  <c r="J41" i="4"/>
  <c r="L24" i="4"/>
  <c r="G41" i="4"/>
  <c r="N24" i="4"/>
  <c r="G18" i="4"/>
  <c r="G19" i="4" s="1"/>
  <c r="J6" i="4"/>
  <c r="J19" i="4" s="1"/>
  <c r="L12" i="4"/>
  <c r="L16" i="4"/>
  <c r="H41" i="4"/>
  <c r="M41" i="4"/>
  <c r="L9" i="4"/>
  <c r="L11" i="4"/>
  <c r="L13" i="4"/>
  <c r="L15" i="4"/>
  <c r="L17" i="4"/>
  <c r="I41" i="4"/>
  <c r="L8" i="4"/>
  <c r="H19" i="4"/>
  <c r="K6" i="4"/>
  <c r="K19" i="4" s="1"/>
  <c r="L7" i="4"/>
  <c r="C18" i="1"/>
  <c r="D18" i="1"/>
  <c r="E18" i="1"/>
  <c r="F18" i="1"/>
  <c r="K41" i="4" l="1"/>
  <c r="H20" i="4"/>
  <c r="L6" i="4"/>
  <c r="L19" i="4" s="1"/>
  <c r="D17" i="2"/>
  <c r="C17" i="2"/>
  <c r="B17" i="2"/>
  <c r="G17" i="2" s="1"/>
  <c r="N41" i="4" l="1"/>
  <c r="N42" i="4" s="1"/>
  <c r="L41" i="4"/>
  <c r="E59" i="1" l="1"/>
  <c r="C24" i="2" s="1"/>
  <c r="M39" i="1" l="1"/>
  <c r="J39" i="1"/>
  <c r="I39" i="1"/>
  <c r="H39" i="1"/>
  <c r="F39" i="1"/>
  <c r="D39" i="1"/>
  <c r="B39" i="1"/>
  <c r="K38" i="1"/>
  <c r="G38" i="1"/>
  <c r="K37" i="1"/>
  <c r="G37" i="1"/>
  <c r="K36" i="1"/>
  <c r="G36" i="1"/>
  <c r="K35" i="1"/>
  <c r="G35" i="1"/>
  <c r="K34" i="1"/>
  <c r="G34" i="1"/>
  <c r="K33" i="1"/>
  <c r="G33" i="1"/>
  <c r="K32" i="1"/>
  <c r="G32" i="1"/>
  <c r="K31" i="1"/>
  <c r="G31" i="1"/>
  <c r="K30" i="1"/>
  <c r="G30" i="1"/>
  <c r="K29" i="1"/>
  <c r="G29" i="1"/>
  <c r="K28" i="1"/>
  <c r="G28" i="1"/>
  <c r="K27" i="1"/>
  <c r="G27" i="1"/>
  <c r="K25" i="1"/>
  <c r="B16" i="2" s="1"/>
  <c r="G25" i="1"/>
  <c r="B15" i="2" s="1"/>
  <c r="P19" i="1"/>
  <c r="B24" i="2" s="1"/>
  <c r="O19" i="1"/>
  <c r="N19" i="1"/>
  <c r="F19" i="1"/>
  <c r="E19" i="1"/>
  <c r="C19" i="1"/>
  <c r="B18" i="1"/>
  <c r="B19" i="1" s="1"/>
  <c r="K17" i="1"/>
  <c r="J17" i="1"/>
  <c r="K16" i="1"/>
  <c r="J16" i="1"/>
  <c r="K15" i="1"/>
  <c r="J15" i="1"/>
  <c r="K14" i="1"/>
  <c r="J14" i="1"/>
  <c r="K13" i="1"/>
  <c r="J13" i="1"/>
  <c r="K12" i="1"/>
  <c r="J12" i="1"/>
  <c r="K11" i="1"/>
  <c r="J11" i="1"/>
  <c r="K10" i="1"/>
  <c r="J10" i="1"/>
  <c r="K9" i="1"/>
  <c r="J9" i="1"/>
  <c r="K8" i="1"/>
  <c r="J8" i="1"/>
  <c r="K7" i="1"/>
  <c r="J7" i="1"/>
  <c r="H6" i="1"/>
  <c r="H18" i="1" s="1"/>
  <c r="G6" i="1"/>
  <c r="L11" i="1" l="1"/>
  <c r="L13" i="1"/>
  <c r="L15" i="1"/>
  <c r="L12" i="1"/>
  <c r="G39" i="1"/>
  <c r="D15" i="2" s="1"/>
  <c r="G18" i="1"/>
  <c r="G19" i="1" s="1"/>
  <c r="B18" i="2"/>
  <c r="J19" i="1"/>
  <c r="D19" i="1"/>
  <c r="H41" i="1"/>
  <c r="C15" i="2"/>
  <c r="I41" i="1"/>
  <c r="L10" i="1"/>
  <c r="C16" i="2"/>
  <c r="D41" i="1"/>
  <c r="J41" i="1"/>
  <c r="L7" i="1"/>
  <c r="K6" i="1"/>
  <c r="L6" i="1" s="1"/>
  <c r="L8" i="1"/>
  <c r="L17" i="1"/>
  <c r="B41" i="1"/>
  <c r="L27" i="1"/>
  <c r="N27" i="1" s="1"/>
  <c r="L29" i="1"/>
  <c r="N29" i="1" s="1"/>
  <c r="L31" i="1"/>
  <c r="N31" i="1" s="1"/>
  <c r="L33" i="1"/>
  <c r="N33" i="1" s="1"/>
  <c r="L35" i="1"/>
  <c r="N35" i="1" s="1"/>
  <c r="L37" i="1"/>
  <c r="N37" i="1" s="1"/>
  <c r="L9" i="1"/>
  <c r="L14" i="1"/>
  <c r="L16" i="1"/>
  <c r="F41" i="1"/>
  <c r="L28" i="1"/>
  <c r="N28" i="1" s="1"/>
  <c r="L30" i="1"/>
  <c r="N30" i="1" s="1"/>
  <c r="L32" i="1"/>
  <c r="N32" i="1" s="1"/>
  <c r="L34" i="1"/>
  <c r="N34" i="1" s="1"/>
  <c r="L36" i="1"/>
  <c r="N36" i="1" s="1"/>
  <c r="L38" i="1"/>
  <c r="N38" i="1" s="1"/>
  <c r="H19" i="1"/>
  <c r="L25" i="1"/>
  <c r="K39" i="1"/>
  <c r="D16" i="2" s="1"/>
  <c r="M41" i="1"/>
  <c r="B20" i="2" l="1"/>
  <c r="G15" i="2"/>
  <c r="G16" i="2"/>
  <c r="D18" i="2"/>
  <c r="D20" i="2" s="1"/>
  <c r="G41" i="1"/>
  <c r="C18" i="2"/>
  <c r="G18" i="2" s="1"/>
  <c r="L39" i="1"/>
  <c r="K19" i="1"/>
  <c r="L19" i="1"/>
  <c r="H20" i="1"/>
  <c r="B25" i="2" s="1"/>
  <c r="K41" i="1"/>
  <c r="N25" i="1"/>
  <c r="C20" i="2" l="1"/>
  <c r="G20" i="2"/>
  <c r="L41" i="1"/>
  <c r="N39" i="1"/>
  <c r="D11" i="2"/>
  <c r="F20" i="2" l="1"/>
  <c r="N41" i="1"/>
  <c r="C26" i="2"/>
  <c r="B26" i="2"/>
</calcChain>
</file>

<file path=xl/sharedStrings.xml><?xml version="1.0" encoding="utf-8"?>
<sst xmlns="http://schemas.openxmlformats.org/spreadsheetml/2006/main" count="226" uniqueCount="118">
  <si>
    <t>2017 Subscriber Solar Dashboard</t>
  </si>
  <si>
    <t>BLOCKS INVOICED</t>
  </si>
  <si>
    <t>REVENUES</t>
  </si>
  <si>
    <t>ENERGY GENERATED</t>
  </si>
  <si>
    <t>RESIDENTIAL</t>
  </si>
  <si>
    <t>COMMERCIAL</t>
  </si>
  <si>
    <t>TOTAL BLOCKS</t>
  </si>
  <si>
    <t>6A</t>
  </si>
  <si>
    <t>TOTAL $</t>
  </si>
  <si>
    <t>ON PEAK</t>
  </si>
  <si>
    <t>OFF PEAK</t>
  </si>
  <si>
    <t>TOTAL KWH</t>
  </si>
  <si>
    <t>TOTAL Blocks</t>
  </si>
  <si>
    <t>Res and Comm KWH</t>
  </si>
  <si>
    <t>PROGRAM ADMIN &amp; BILLING SETUP</t>
  </si>
  <si>
    <t>MARKETING</t>
  </si>
  <si>
    <t>Program Mgmt</t>
  </si>
  <si>
    <t>Call Center</t>
  </si>
  <si>
    <t>I/T Billing</t>
  </si>
  <si>
    <t>TOTAL ADMIN</t>
  </si>
  <si>
    <t>Cust Outreach</t>
  </si>
  <si>
    <t>Prod/Collateral</t>
  </si>
  <si>
    <t>Website</t>
  </si>
  <si>
    <t>TOTAL MKTG</t>
  </si>
  <si>
    <t>TOTAL EXP</t>
  </si>
  <si>
    <t>TOTAL EXPENSE</t>
  </si>
  <si>
    <t>Original Budget</t>
  </si>
  <si>
    <t>Variance</t>
  </si>
  <si>
    <t>INTEREST EXPENSE</t>
  </si>
  <si>
    <t>Cancellation Fees</t>
  </si>
  <si>
    <t>Program Management Commentary</t>
  </si>
  <si>
    <t>Program Sales Summary</t>
  </si>
  <si>
    <t>Program Expenses Summary</t>
  </si>
  <si>
    <t>Generation Status</t>
  </si>
  <si>
    <t>Total Program Management/Admin Expenses</t>
  </si>
  <si>
    <t>Total Marketing Expenses</t>
  </si>
  <si>
    <t>Total Expenses</t>
  </si>
  <si>
    <t>Total Residential Block Revenues</t>
  </si>
  <si>
    <t>Total Program Revenues</t>
  </si>
  <si>
    <t>Variance to Budget</t>
  </si>
  <si>
    <t>COST OF GENERATION</t>
  </si>
  <si>
    <t>Unsold Generation</t>
  </si>
  <si>
    <t>Cost</t>
  </si>
  <si>
    <t xml:space="preserve">Generation Purchased </t>
  </si>
  <si>
    <t xml:space="preserve">Generation Sold </t>
  </si>
  <si>
    <t xml:space="preserve">TOTAL </t>
  </si>
  <si>
    <t>Total Interest Expense</t>
  </si>
  <si>
    <t>2018 Subscriber Solar Dashboard</t>
  </si>
  <si>
    <t>TOTAL</t>
  </si>
  <si>
    <t>Total Non-Residential Block Revenues</t>
  </si>
  <si>
    <t>Less Interest, plus cancellation fees</t>
  </si>
  <si>
    <t>Donated</t>
  </si>
  <si>
    <t>Generation Purchased/Unused Credits</t>
  </si>
  <si>
    <t>Subscriber Solar Credit - Excess Energy Valuation</t>
  </si>
  <si>
    <t>Onpeak</t>
  </si>
  <si>
    <t>Hrs</t>
  </si>
  <si>
    <t>Hrs Per Day (6am to 10pm)</t>
  </si>
  <si>
    <t>Days Per Week</t>
  </si>
  <si>
    <t xml:space="preserve">  Total</t>
  </si>
  <si>
    <t>Offpeak (10pm to 6am)</t>
  </si>
  <si>
    <t>Days</t>
  </si>
  <si>
    <t>Sunday</t>
  </si>
  <si>
    <t>Total Hours</t>
  </si>
  <si>
    <t>Reconcile 7 * 24</t>
  </si>
  <si>
    <t>Percent</t>
  </si>
  <si>
    <t>Sch. 37</t>
  </si>
  <si>
    <t>Calc</t>
  </si>
  <si>
    <t>Allocation (8 mo)</t>
  </si>
  <si>
    <t>cents per kWh</t>
  </si>
  <si>
    <t>Onpeak Rate</t>
  </si>
  <si>
    <t>Offpeak Rate</t>
  </si>
  <si>
    <t>Allocation (4 mo)</t>
  </si>
  <si>
    <t>Total Avoided Cost (per kWh)</t>
  </si>
  <si>
    <t>Annualized Billing Period (12 months)</t>
  </si>
  <si>
    <t>Click to see Solar Credits Donated Worksheet</t>
  </si>
  <si>
    <t>Return to Summary</t>
  </si>
  <si>
    <t>2015-2018 EXPENSE DETAIL</t>
  </si>
  <si>
    <t>2015-2017 EXPENSE DETAIL</t>
  </si>
  <si>
    <t>Grand Total</t>
  </si>
  <si>
    <t>Customer Class</t>
  </si>
  <si>
    <t>Donation</t>
  </si>
  <si>
    <t>Commercial</t>
  </si>
  <si>
    <t>Industrial</t>
  </si>
  <si>
    <t>Residential</t>
  </si>
  <si>
    <t>Jan</t>
  </si>
  <si>
    <t>Feb</t>
  </si>
  <si>
    <t>Mar</t>
  </si>
  <si>
    <t>Apr</t>
  </si>
  <si>
    <t>May</t>
  </si>
  <si>
    <t>Jun</t>
  </si>
  <si>
    <t>Jul</t>
  </si>
  <si>
    <t>Aug</t>
  </si>
  <si>
    <t>Sep</t>
  </si>
  <si>
    <t>Oct</t>
  </si>
  <si>
    <t>Nov</t>
  </si>
  <si>
    <t>Dec</t>
  </si>
  <si>
    <t>Uses volumetric winter and summer energy prices for on-peak and off-peak hours for non-levelized tracking solar facilities</t>
  </si>
  <si>
    <t>2019 Subscriber Solar Dashboard</t>
  </si>
  <si>
    <t>2019 Subscriber Solar Summary Report</t>
  </si>
  <si>
    <t>2019 KWH</t>
  </si>
  <si>
    <t>2019 % Sold</t>
  </si>
  <si>
    <t>Jan 2017-Dec 2019 kWh</t>
  </si>
  <si>
    <t>2019 Program Marketing and Communications Highlights</t>
  </si>
  <si>
    <t>2019 SUBSCRIPTIONS AND MARKETING</t>
  </si>
  <si>
    <t>2019 NEWSLETTER - PROGRAM IN REVIEW</t>
  </si>
  <si>
    <t>Utah Liability Account Balance Reconciliation</t>
  </si>
  <si>
    <t>Dec 2019 Liability Account Balance  =</t>
  </si>
  <si>
    <t>Total Donated kWh value, 2019</t>
  </si>
  <si>
    <t>Jan-Dec 2019 kWh</t>
  </si>
  <si>
    <t>TARIFF UPDATE - FULL COVERAGE OPTION</t>
  </si>
  <si>
    <t xml:space="preserve">The company continues to develop plans for a second solar plant to expand the program. Pricing and rates are planning to be reviewed during the 2020 rate case proceedings. </t>
  </si>
  <si>
    <t>Jan 2019 Liability Account Balance =</t>
  </si>
  <si>
    <t>2019 Subscriber Solar Newsletter is in development and will be sent during April 2020. A new logo was developed during 2019 and updated collateral will be produced and sent to participants during 2020.</t>
  </si>
  <si>
    <t>The program sold 99.2% of production during CY2019 with only 159 of 240,000 unbilled blocks for the year, primarily due to cancellations and gaps between billing cycles of new customer subscriptions. Marketing costs were low and mainly focused on expanding awareness through co-marketing partnership opportunities with other programs.</t>
  </si>
  <si>
    <t xml:space="preserve">With the assistance of several stakeholders, a second 'full-coverage' option was approved to enable small commercial (Schedule 23) and residential (Schedule 1 and 3) customers to purchase 100% solar to offset their monthly usage. The option will be offered beginning in June 2020 once the billing system updates are completed. </t>
  </si>
  <si>
    <t>Solar Credits Donated to Low Income Assistance Fund</t>
  </si>
  <si>
    <t>2019 Winter (Oct-May) - Prices effective Jan 2020 (time of valuation/single donation)</t>
  </si>
  <si>
    <t>2019 Summer (Jun-Sep) - Prices effective Jan 2020 (time of valuation/single donation)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</si>
</sst>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
    <numFmt numFmtId="168" formatCode="0.000"/>
    <numFmt numFmtId="169" formatCode="&quot;$&quot;#,##0.0000_);\(&quot;$&quot;#,##0.0000\)"/>
    <numFmt numFmtId="170" formatCode="_(* #,##0_);_(* \(#,##0\);_(* &quot;-&quot;??_);_(@_)"/>
    <numFmt numFmtId="171" formatCode="0.000%"/>
  </numFmts>
  <fonts count="33">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25"/>
      <color theme="0"/>
      <name val="Gill Sans MT"/>
      <family val="2"/>
    </font>
    <font>
      <sz val="25"/>
      <color theme="1"/>
      <name val="Calibri"/>
      <family val="2"/>
      <scheme val="minor"/>
    </font>
    <font>
      <b/>
      <sz val="15"/>
      <color theme="0"/>
      <name val="Gill Sans MT"/>
      <family val="2"/>
    </font>
    <font>
      <sz val="15"/>
      <color theme="0"/>
      <name val="Gill Sans MT"/>
      <family val="2"/>
    </font>
    <font>
      <sz val="11"/>
      <color theme="0"/>
      <name val="Gill Sans MT"/>
      <family val="2"/>
    </font>
    <font>
      <b/>
      <sz val="15"/>
      <name val="Calibri"/>
      <family val="2"/>
      <scheme val="minor"/>
    </font>
    <font>
      <sz val="15"/>
      <name val="Calibri"/>
      <family val="2"/>
      <scheme val="minor"/>
    </font>
    <font>
      <b/>
      <sz val="11"/>
      <name val="Calibri"/>
      <family val="2"/>
      <scheme val="minor"/>
    </font>
    <font>
      <b/>
      <sz val="17"/>
      <color theme="0"/>
      <name val="Gill Sans MT"/>
      <family val="2"/>
    </font>
    <font>
      <sz val="10"/>
      <name val="Arial"/>
      <family val="2"/>
    </font>
    <font>
      <b/>
      <sz val="12"/>
      <name val="GillSans"/>
      <family val="2"/>
    </font>
    <font>
      <sz val="10"/>
      <color rgb="FF0070C0"/>
      <name val="Gill Sans MT"/>
      <family val="2"/>
    </font>
    <font>
      <sz val="14"/>
      <color rgb="FF0070C0"/>
      <name val="Arial"/>
      <family val="2"/>
    </font>
    <font>
      <b/>
      <sz val="14"/>
      <name val="Arial"/>
      <family val="2"/>
    </font>
    <font>
      <sz val="11"/>
      <name val="GillSans"/>
      <family val="2"/>
    </font>
    <font>
      <sz val="10"/>
      <name val="Gill Sans MT"/>
      <family val="2"/>
    </font>
    <font>
      <b/>
      <sz val="12"/>
      <color theme="3" tint="-0.499984740745262"/>
      <name val="Calibri"/>
      <family val="2"/>
      <scheme val="minor"/>
    </font>
    <font>
      <u/>
      <sz val="11"/>
      <color theme="10"/>
      <name val="Calibri"/>
      <family val="2"/>
      <scheme val="minor"/>
    </font>
    <font>
      <u/>
      <sz val="11"/>
      <color rgb="FF7030A0"/>
      <name val="Calibri"/>
      <family val="2"/>
      <scheme val="minor"/>
    </font>
    <font>
      <b/>
      <sz val="12"/>
      <name val="Arial"/>
      <family val="2"/>
    </font>
    <font>
      <b/>
      <sz val="10"/>
      <name val="Gill Sans MT"/>
      <family val="2"/>
    </font>
    <font>
      <b/>
      <sz val="14"/>
      <color rgb="FF0070C0"/>
      <name val="Arial"/>
      <family val="2"/>
    </font>
    <font>
      <sz val="11"/>
      <color rgb="FF7030A0"/>
      <name val="Calibri"/>
      <family val="2"/>
      <scheme val="minor"/>
    </font>
    <font>
      <b/>
      <sz val="12"/>
      <color rgb="FF0070C0"/>
      <name val="Gill Sans MT"/>
      <family val="2"/>
    </font>
    <font>
      <b/>
      <sz val="12"/>
      <name val="Gill Sans MT"/>
      <family val="2"/>
    </font>
    <font>
      <b/>
      <sz val="14"/>
      <color rgb="FF0070C0"/>
      <name val="Gill Sans MT"/>
      <family val="2"/>
    </font>
    <font>
      <sz val="11"/>
      <color theme="0"/>
      <name val="Calibri"/>
      <family val="2"/>
      <scheme val="minor"/>
    </font>
    <font>
      <sz val="11"/>
      <name val="Calibri"/>
      <family val="2"/>
      <scheme val="minor"/>
    </font>
    <font>
      <sz val="12"/>
      <name val="Gill Sans MT"/>
      <family val="2"/>
    </font>
  </fonts>
  <fills count="17">
    <fill>
      <patternFill patternType="none"/>
    </fill>
    <fill>
      <patternFill patternType="gray125"/>
    </fill>
    <fill>
      <patternFill patternType="solid">
        <fgColor rgb="FF00B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3" fillId="0" borderId="0"/>
    <xf numFmtId="0" fontId="21" fillId="0" borderId="0" applyNumberFormat="0" applyFill="0" applyBorder="0" applyAlignment="0" applyProtection="0"/>
    <xf numFmtId="43" fontId="1" fillId="0" borderId="0" applyFont="0" applyFill="0" applyBorder="0" applyAlignment="0" applyProtection="0"/>
  </cellStyleXfs>
  <cellXfs count="291">
    <xf numFmtId="0" fontId="0" fillId="0" borderId="0" xfId="0"/>
    <xf numFmtId="0" fontId="6" fillId="0" borderId="0" xfId="4" applyFont="1" applyFill="1" applyAlignment="1" applyProtection="1">
      <alignment vertical="center"/>
      <protection locked="0"/>
    </xf>
    <xf numFmtId="0" fontId="7" fillId="0" borderId="0" xfId="0" applyFont="1" applyFill="1" applyAlignment="1">
      <alignment vertical="center"/>
    </xf>
    <xf numFmtId="0" fontId="8" fillId="0" borderId="0" xfId="0" applyFont="1" applyFill="1" applyAlignment="1"/>
    <xf numFmtId="0" fontId="8" fillId="0" borderId="0" xfId="0" applyFont="1" applyFill="1" applyAlignment="1" applyProtection="1">
      <protection locked="0"/>
    </xf>
    <xf numFmtId="0" fontId="10" fillId="0" borderId="0" xfId="0" applyFont="1" applyFill="1" applyBorder="1" applyAlignment="1">
      <alignment horizontal="left" vertical="center"/>
    </xf>
    <xf numFmtId="0" fontId="0" fillId="0" borderId="10"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 fontId="0" fillId="0" borderId="6" xfId="0" applyNumberForma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0" fillId="4" borderId="1" xfId="2" applyNumberFormat="1" applyFont="1" applyFill="1" applyBorder="1" applyAlignment="1">
      <alignment horizontal="center" vertical="center"/>
    </xf>
    <xf numFmtId="164" fontId="0" fillId="5" borderId="1" xfId="2" applyNumberFormat="1" applyFont="1" applyFill="1" applyBorder="1" applyAlignment="1">
      <alignment horizontal="center" vertical="center"/>
    </xf>
    <xf numFmtId="164" fontId="3" fillId="0" borderId="5" xfId="0" applyNumberFormat="1" applyFont="1" applyBorder="1" applyAlignment="1">
      <alignment horizontal="center" vertical="center"/>
    </xf>
    <xf numFmtId="3" fontId="0" fillId="6" borderId="1" xfId="0" applyNumberFormat="1" applyFill="1" applyBorder="1" applyAlignment="1">
      <alignment horizontal="center" vertical="center"/>
    </xf>
    <xf numFmtId="3" fontId="3" fillId="0" borderId="5" xfId="0" applyNumberFormat="1" applyFont="1" applyBorder="1" applyAlignment="1">
      <alignment horizontal="center" vertical="center"/>
    </xf>
    <xf numFmtId="1" fontId="3" fillId="5" borderId="1" xfId="0" applyNumberFormat="1" applyFont="1" applyFill="1" applyBorder="1" applyAlignment="1">
      <alignment horizontal="center" vertical="center"/>
    </xf>
    <xf numFmtId="0" fontId="3" fillId="0" borderId="6" xfId="0" applyFont="1" applyFill="1" applyBorder="1" applyAlignment="1">
      <alignment horizontal="right" vertical="center"/>
    </xf>
    <xf numFmtId="3" fontId="3" fillId="0" borderId="0"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0" fontId="0" fillId="0" borderId="6" xfId="0" applyFill="1" applyBorder="1" applyAlignment="1">
      <alignment horizontal="left" vertical="center" indent="1"/>
    </xf>
    <xf numFmtId="3" fontId="0" fillId="0" borderId="0" xfId="0" applyNumberFormat="1" applyFill="1" applyBorder="1" applyAlignment="1">
      <alignment vertical="center"/>
    </xf>
    <xf numFmtId="10" fontId="0" fillId="0" borderId="0" xfId="0" applyNumberFormat="1" applyFill="1" applyBorder="1" applyAlignment="1">
      <alignment vertical="center"/>
    </xf>
    <xf numFmtId="0" fontId="3" fillId="0" borderId="6" xfId="0" applyFont="1" applyBorder="1" applyAlignment="1">
      <alignment horizontal="right"/>
    </xf>
    <xf numFmtId="3" fontId="3" fillId="0" borderId="0" xfId="0" applyNumberFormat="1" applyFont="1" applyFill="1" applyBorder="1" applyAlignment="1">
      <alignment horizontal="center"/>
    </xf>
    <xf numFmtId="3" fontId="3" fillId="0" borderId="5" xfId="0" applyNumberFormat="1" applyFont="1" applyFill="1" applyBorder="1" applyAlignment="1">
      <alignment horizontal="center"/>
    </xf>
    <xf numFmtId="4" fontId="3" fillId="0" borderId="0"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164" fontId="11" fillId="7" borderId="1" xfId="0" applyNumberFormat="1" applyFont="1" applyFill="1" applyBorder="1" applyAlignment="1">
      <alignment horizontal="center" vertical="center"/>
    </xf>
    <xf numFmtId="3" fontId="3" fillId="8" borderId="0" xfId="0" applyNumberFormat="1" applyFont="1" applyFill="1" applyBorder="1" applyAlignment="1">
      <alignment horizontal="center"/>
    </xf>
    <xf numFmtId="3" fontId="3" fillId="7" borderId="5" xfId="0" applyNumberFormat="1" applyFont="1" applyFill="1" applyBorder="1" applyAlignment="1">
      <alignment horizontal="center"/>
    </xf>
    <xf numFmtId="0" fontId="0" fillId="0" borderId="6" xfId="0" applyBorder="1"/>
    <xf numFmtId="0" fontId="0" fillId="0" borderId="0" xfId="0" applyBorder="1"/>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0" xfId="0" applyBorder="1" applyAlignment="1">
      <alignment horizontal="right"/>
    </xf>
    <xf numFmtId="3" fontId="3" fillId="7" borderId="13" xfId="0" applyNumberFormat="1" applyFont="1" applyFill="1" applyBorder="1" applyAlignment="1">
      <alignment horizontal="center"/>
    </xf>
    <xf numFmtId="0" fontId="0" fillId="0" borderId="0" xfId="0" applyFill="1" applyAlignment="1">
      <alignment horizontal="left" vertical="center"/>
    </xf>
    <xf numFmtId="4"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xf>
    <xf numFmtId="0" fontId="0" fillId="0" borderId="5" xfId="0" applyBorder="1"/>
    <xf numFmtId="0" fontId="0" fillId="0" borderId="6" xfId="0" applyFill="1"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xf numFmtId="0" fontId="0" fillId="0" borderId="0" xfId="0" applyAlignment="1">
      <alignment horizontal="center"/>
    </xf>
    <xf numFmtId="0" fontId="3" fillId="9" borderId="8" xfId="0" applyFont="1" applyFill="1" applyBorder="1" applyAlignment="1">
      <alignment horizontal="center"/>
    </xf>
    <xf numFmtId="0" fontId="3" fillId="10" borderId="7" xfId="0" applyFont="1" applyFill="1" applyBorder="1" applyAlignment="1">
      <alignment horizontal="center"/>
    </xf>
    <xf numFmtId="0" fontId="3" fillId="10" borderId="8" xfId="0" applyFont="1" applyFill="1" applyBorder="1" applyAlignment="1" applyProtection="1">
      <alignment horizontal="center"/>
      <protection locked="0"/>
    </xf>
    <xf numFmtId="0" fontId="3" fillId="0" borderId="2" xfId="0" applyFont="1" applyFill="1" applyBorder="1" applyAlignment="1">
      <alignment horizontal="center" vertical="center"/>
    </xf>
    <xf numFmtId="164" fontId="3" fillId="0" borderId="4" xfId="0" applyNumberFormat="1" applyFont="1" applyBorder="1" applyAlignment="1">
      <alignment horizontal="center"/>
    </xf>
    <xf numFmtId="164" fontId="3" fillId="0" borderId="7" xfId="0" applyNumberFormat="1" applyFont="1" applyBorder="1" applyAlignment="1">
      <alignment horizontal="center"/>
    </xf>
    <xf numFmtId="164" fontId="0" fillId="0" borderId="5" xfId="0" applyNumberFormat="1" applyBorder="1" applyAlignment="1">
      <alignment horizontal="center"/>
    </xf>
    <xf numFmtId="164" fontId="0" fillId="0" borderId="0" xfId="0" applyNumberFormat="1" applyBorder="1" applyAlignment="1">
      <alignment horizontal="center"/>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164" fontId="0" fillId="0" borderId="5"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Alignment="1"/>
    <xf numFmtId="164" fontId="3" fillId="0" borderId="0" xfId="0" applyNumberFormat="1" applyFont="1" applyAlignment="1">
      <alignment horizontal="center"/>
    </xf>
    <xf numFmtId="0" fontId="3" fillId="9" borderId="7" xfId="0" applyFont="1" applyFill="1" applyBorder="1" applyAlignment="1">
      <alignment horizontal="center"/>
    </xf>
    <xf numFmtId="164" fontId="3" fillId="11" borderId="8" xfId="0" applyNumberFormat="1" applyFont="1" applyFill="1" applyBorder="1" applyAlignment="1">
      <alignment horizontal="center"/>
    </xf>
    <xf numFmtId="164" fontId="3" fillId="11" borderId="3" xfId="0" applyNumberFormat="1" applyFont="1" applyFill="1" applyBorder="1" applyAlignment="1">
      <alignment horizontal="center"/>
    </xf>
    <xf numFmtId="164" fontId="3" fillId="11" borderId="5" xfId="0" applyNumberFormat="1" applyFont="1" applyFill="1" applyBorder="1" applyAlignment="1">
      <alignment horizontal="center" vertical="center"/>
    </xf>
    <xf numFmtId="164" fontId="3" fillId="12" borderId="5" xfId="0" applyNumberFormat="1" applyFont="1" applyFill="1" applyBorder="1" applyAlignment="1">
      <alignment horizontal="center" vertical="center"/>
    </xf>
    <xf numFmtId="164" fontId="3" fillId="10" borderId="8" xfId="0" applyNumberFormat="1" applyFont="1" applyFill="1" applyBorder="1" applyAlignment="1">
      <alignment horizontal="center"/>
    </xf>
    <xf numFmtId="164" fontId="3" fillId="10" borderId="4" xfId="0" applyNumberFormat="1" applyFont="1" applyFill="1" applyBorder="1" applyAlignment="1">
      <alignment horizontal="center"/>
    </xf>
    <xf numFmtId="164" fontId="3" fillId="13" borderId="8" xfId="0" applyNumberFormat="1" applyFont="1" applyFill="1" applyBorder="1" applyAlignment="1">
      <alignment horizontal="center"/>
    </xf>
    <xf numFmtId="164" fontId="3" fillId="13" borderId="4" xfId="0" applyNumberFormat="1" applyFont="1" applyFill="1" applyBorder="1" applyAlignment="1">
      <alignment horizontal="center"/>
    </xf>
    <xf numFmtId="164" fontId="3" fillId="13" borderId="5" xfId="0" applyNumberFormat="1" applyFont="1" applyFill="1" applyBorder="1" applyAlignment="1">
      <alignment horizontal="center" vertical="center"/>
    </xf>
    <xf numFmtId="0" fontId="0" fillId="12" borderId="0" xfId="0" applyFill="1" applyAlignment="1" applyProtection="1">
      <alignment horizontal="center"/>
      <protection locked="0"/>
    </xf>
    <xf numFmtId="164" fontId="3" fillId="12" borderId="0" xfId="0" applyNumberFormat="1" applyFont="1" applyFill="1" applyAlignment="1">
      <alignment horizontal="center"/>
    </xf>
    <xf numFmtId="0" fontId="0" fillId="11" borderId="0" xfId="0" applyFill="1" applyAlignment="1">
      <alignment horizontal="center"/>
    </xf>
    <xf numFmtId="164" fontId="3" fillId="11" borderId="0" xfId="0" applyNumberFormat="1" applyFont="1" applyFill="1" applyAlignment="1">
      <alignment horizontal="center"/>
    </xf>
    <xf numFmtId="0" fontId="0" fillId="13" borderId="0" xfId="0" applyFill="1" applyAlignment="1" applyProtection="1">
      <alignment horizontal="center"/>
      <protection locked="0"/>
    </xf>
    <xf numFmtId="164" fontId="3" fillId="13" borderId="0" xfId="0" applyNumberFormat="1" applyFont="1" applyFill="1" applyAlignment="1">
      <alignment horizontal="center"/>
    </xf>
    <xf numFmtId="0" fontId="0" fillId="10" borderId="0" xfId="0" applyFill="1"/>
    <xf numFmtId="164" fontId="3" fillId="10" borderId="0" xfId="0" applyNumberFormat="1" applyFont="1" applyFill="1" applyBorder="1" applyAlignment="1">
      <alignment horizontal="center"/>
    </xf>
    <xf numFmtId="164" fontId="3" fillId="12" borderId="3" xfId="0" applyNumberFormat="1" applyFont="1" applyFill="1" applyBorder="1" applyAlignment="1">
      <alignment horizontal="center"/>
    </xf>
    <xf numFmtId="164" fontId="3" fillId="10" borderId="2" xfId="0" applyNumberFormat="1" applyFont="1" applyFill="1" applyBorder="1" applyAlignment="1">
      <alignment horizontal="center"/>
    </xf>
    <xf numFmtId="164" fontId="3" fillId="12" borderId="9" xfId="0" applyNumberFormat="1" applyFont="1" applyFill="1" applyBorder="1" applyAlignment="1">
      <alignment horizontal="center"/>
    </xf>
    <xf numFmtId="0" fontId="3" fillId="12" borderId="2" xfId="0" applyFont="1" applyFill="1" applyBorder="1" applyAlignment="1">
      <alignment horizontal="center"/>
    </xf>
    <xf numFmtId="164" fontId="3" fillId="10" borderId="9" xfId="0" applyNumberFormat="1"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3" fillId="0" borderId="6" xfId="0" applyFont="1" applyFill="1" applyBorder="1" applyAlignment="1">
      <alignment horizontal="center" vertical="center"/>
    </xf>
    <xf numFmtId="0" fontId="14" fillId="0" borderId="0" xfId="5" applyFont="1" applyFill="1" applyBorder="1" applyAlignment="1"/>
    <xf numFmtId="0" fontId="15" fillId="0" borderId="0" xfId="5" applyFont="1" applyFill="1" applyBorder="1" applyAlignment="1">
      <alignment horizontal="left"/>
    </xf>
    <xf numFmtId="0" fontId="15" fillId="0" borderId="0" xfId="5" applyFont="1" applyFill="1" applyBorder="1" applyAlignment="1">
      <alignment horizontal="center"/>
    </xf>
    <xf numFmtId="0" fontId="16" fillId="0" borderId="0" xfId="5" applyFont="1" applyFill="1" applyBorder="1" applyAlignment="1">
      <alignment horizontal="center"/>
    </xf>
    <xf numFmtId="166" fontId="15" fillId="0" borderId="0" xfId="5" applyNumberFormat="1" applyFont="1" applyFill="1" applyBorder="1"/>
    <xf numFmtId="0" fontId="15" fillId="0" borderId="0" xfId="5" applyFont="1" applyFill="1" applyBorder="1"/>
    <xf numFmtId="0" fontId="17" fillId="0" borderId="0" xfId="5" applyFont="1" applyFill="1" applyBorder="1" applyAlignment="1">
      <alignment horizontal="left"/>
    </xf>
    <xf numFmtId="0" fontId="0" fillId="0" borderId="0" xfId="0" applyFont="1" applyFill="1" applyAlignment="1">
      <alignment vertical="top"/>
    </xf>
    <xf numFmtId="0" fontId="17" fillId="3" borderId="0" xfId="5" applyFont="1" applyFill="1" applyBorder="1" applyAlignment="1">
      <alignment horizontal="left"/>
    </xf>
    <xf numFmtId="0" fontId="19" fillId="3" borderId="0" xfId="5" applyFont="1" applyFill="1" applyBorder="1" applyAlignment="1"/>
    <xf numFmtId="0" fontId="19" fillId="3" borderId="0" xfId="5" applyFont="1" applyFill="1" applyBorder="1" applyAlignment="1">
      <alignment horizontal="center"/>
    </xf>
    <xf numFmtId="0" fontId="16" fillId="3" borderId="0" xfId="5" applyFont="1" applyFill="1" applyBorder="1"/>
    <xf numFmtId="0" fontId="20" fillId="3"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3" fillId="0" borderId="7" xfId="5" applyFont="1" applyFill="1" applyBorder="1" applyAlignment="1">
      <alignment horizontal="center" vertical="center"/>
    </xf>
    <xf numFmtId="0" fontId="23" fillId="0" borderId="7" xfId="5" applyFont="1" applyFill="1" applyBorder="1" applyAlignment="1">
      <alignment horizontal="center"/>
    </xf>
    <xf numFmtId="0" fontId="24" fillId="0" borderId="0" xfId="5" applyFont="1" applyFill="1" applyBorder="1" applyAlignment="1"/>
    <xf numFmtId="167" fontId="25" fillId="0" borderId="10" xfId="3" applyNumberFormat="1" applyFont="1" applyFill="1" applyBorder="1" applyAlignment="1">
      <alignment horizontal="center"/>
    </xf>
    <xf numFmtId="167" fontId="25" fillId="0" borderId="0" xfId="3" applyNumberFormat="1" applyFont="1" applyFill="1" applyBorder="1" applyAlignment="1">
      <alignment horizontal="center"/>
    </xf>
    <xf numFmtId="165" fontId="19" fillId="0" borderId="0" xfId="1" applyNumberFormat="1" applyFont="1" applyFill="1" applyBorder="1" applyAlignment="1">
      <alignment horizontal="center" vertical="center"/>
    </xf>
    <xf numFmtId="165" fontId="15" fillId="0" borderId="0" xfId="5" applyNumberFormat="1" applyFont="1" applyFill="1" applyBorder="1" applyAlignment="1">
      <alignment horizontal="center"/>
    </xf>
    <xf numFmtId="165" fontId="16" fillId="0" borderId="0" xfId="5" applyNumberFormat="1" applyFont="1" applyFill="1" applyBorder="1" applyAlignment="1">
      <alignment horizontal="center"/>
    </xf>
    <xf numFmtId="166" fontId="15" fillId="0" borderId="0" xfId="5" applyNumberFormat="1" applyFont="1" applyFill="1" applyBorder="1" applyAlignment="1"/>
    <xf numFmtId="164" fontId="15" fillId="0" borderId="0" xfId="5" applyNumberFormat="1" applyFont="1" applyFill="1" applyBorder="1"/>
    <xf numFmtId="164" fontId="21" fillId="0" borderId="0" xfId="6" applyNumberFormat="1" applyFill="1" applyBorder="1"/>
    <xf numFmtId="0" fontId="23" fillId="0" borderId="0" xfId="5" applyFont="1" applyFill="1" applyBorder="1" applyAlignment="1">
      <alignment horizontal="center"/>
    </xf>
    <xf numFmtId="164" fontId="19" fillId="0" borderId="0"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10" fontId="29" fillId="0" borderId="0" xfId="5" applyNumberFormat="1" applyFont="1" applyFill="1" applyBorder="1" applyAlignment="1">
      <alignment horizontal="center"/>
    </xf>
    <xf numFmtId="0" fontId="3" fillId="0" borderId="0" xfId="0" applyFont="1" applyBorder="1" applyAlignment="1">
      <alignment horizontal="center"/>
    </xf>
    <xf numFmtId="0" fontId="3" fillId="0" borderId="9" xfId="0" applyFont="1" applyFill="1" applyBorder="1" applyAlignment="1">
      <alignment horizontal="left" vertical="center"/>
    </xf>
    <xf numFmtId="164" fontId="3" fillId="0" borderId="7" xfId="2" applyNumberFormat="1" applyFont="1" applyFill="1" applyBorder="1" applyAlignment="1">
      <alignment horizontal="center" vertical="center"/>
    </xf>
    <xf numFmtId="0" fontId="3" fillId="0" borderId="6" xfId="0" applyFont="1" applyBorder="1" applyAlignment="1">
      <alignment horizontal="center"/>
    </xf>
    <xf numFmtId="0" fontId="3" fillId="0" borderId="9" xfId="0" applyFont="1" applyFill="1" applyBorder="1" applyAlignment="1">
      <alignment horizontal="center" vertical="center"/>
    </xf>
    <xf numFmtId="164" fontId="0" fillId="0" borderId="8" xfId="0" applyNumberFormat="1" applyBorder="1" applyAlignment="1">
      <alignment horizontal="center"/>
    </xf>
    <xf numFmtId="167" fontId="25" fillId="0" borderId="6" xfId="3" applyNumberFormat="1" applyFont="1" applyFill="1" applyBorder="1" applyAlignment="1">
      <alignment horizontal="center"/>
    </xf>
    <xf numFmtId="167" fontId="25" fillId="0" borderId="12" xfId="3" applyNumberFormat="1" applyFont="1" applyFill="1" applyBorder="1" applyAlignment="1">
      <alignment horizontal="center"/>
    </xf>
    <xf numFmtId="164" fontId="3" fillId="0" borderId="0" xfId="0" applyNumberFormat="1" applyFont="1" applyBorder="1" applyAlignment="1">
      <alignment horizontal="center"/>
    </xf>
    <xf numFmtId="164" fontId="3" fillId="11" borderId="13" xfId="0" applyNumberFormat="1" applyFont="1" applyFill="1" applyBorder="1" applyAlignment="1">
      <alignment horizontal="center" vertical="center"/>
    </xf>
    <xf numFmtId="164" fontId="3" fillId="11" borderId="21" xfId="0" applyNumberFormat="1" applyFont="1" applyFill="1" applyBorder="1" applyAlignment="1">
      <alignment horizontal="center" vertical="center"/>
    </xf>
    <xf numFmtId="164" fontId="3" fillId="11" borderId="22" xfId="0" applyNumberFormat="1" applyFont="1" applyFill="1" applyBorder="1" applyAlignment="1">
      <alignment horizontal="center" vertical="center"/>
    </xf>
    <xf numFmtId="164" fontId="0" fillId="6" borderId="0" xfId="2" applyNumberFormat="1" applyFont="1" applyFill="1" applyBorder="1" applyAlignment="1">
      <alignment horizontal="center" vertical="center"/>
    </xf>
    <xf numFmtId="0" fontId="9" fillId="0" borderId="10" xfId="0" applyFont="1" applyFill="1" applyBorder="1" applyAlignment="1" applyProtection="1">
      <alignment horizontal="left" vertical="center" wrapText="1"/>
      <protection locked="0"/>
    </xf>
    <xf numFmtId="0" fontId="10" fillId="0" borderId="12" xfId="0" applyFont="1" applyFill="1" applyBorder="1" applyAlignment="1">
      <alignment horizontal="left" vertical="center" wrapText="1"/>
    </xf>
    <xf numFmtId="0" fontId="0" fillId="0" borderId="11" xfId="0" applyBorder="1"/>
    <xf numFmtId="0" fontId="3" fillId="0" borderId="2" xfId="0" applyFont="1" applyFill="1" applyBorder="1" applyAlignment="1">
      <alignment horizontal="center"/>
    </xf>
    <xf numFmtId="164" fontId="0" fillId="0" borderId="4" xfId="0" applyNumberFormat="1" applyFill="1" applyBorder="1" applyAlignment="1">
      <alignment horizontal="center"/>
    </xf>
    <xf numFmtId="0" fontId="10" fillId="0" borderId="11" xfId="0" applyFont="1" applyFill="1" applyBorder="1" applyAlignment="1">
      <alignment horizontal="left" vertical="center" wrapText="1"/>
    </xf>
    <xf numFmtId="0" fontId="3" fillId="0" borderId="5" xfId="0" applyFont="1" applyBorder="1" applyAlignment="1">
      <alignment horizontal="center"/>
    </xf>
    <xf numFmtId="164" fontId="0" fillId="6" borderId="5" xfId="2" applyNumberFormat="1" applyFont="1" applyFill="1" applyBorder="1" applyAlignment="1">
      <alignment horizontal="center" vertical="center"/>
    </xf>
    <xf numFmtId="164" fontId="3" fillId="0" borderId="8" xfId="2" applyNumberFormat="1" applyFont="1" applyFill="1" applyBorder="1" applyAlignment="1">
      <alignment horizontal="center" vertical="center"/>
    </xf>
    <xf numFmtId="0" fontId="9" fillId="3" borderId="6" xfId="0" applyFont="1" applyFill="1" applyBorder="1" applyAlignment="1" applyProtection="1">
      <alignment horizontal="left" vertical="center"/>
      <protection locked="0"/>
    </xf>
    <xf numFmtId="0" fontId="10" fillId="3" borderId="0" xfId="0" applyFont="1" applyFill="1" applyBorder="1" applyAlignment="1">
      <alignment horizontal="left" vertical="center"/>
    </xf>
    <xf numFmtId="3" fontId="3" fillId="5" borderId="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10" borderId="1" xfId="0" applyFont="1" applyFill="1" applyBorder="1" applyAlignment="1">
      <alignment horizontal="center"/>
    </xf>
    <xf numFmtId="164" fontId="3" fillId="10" borderId="1" xfId="0" applyNumberFormat="1" applyFont="1" applyFill="1" applyBorder="1" applyAlignment="1">
      <alignment horizontal="center"/>
    </xf>
    <xf numFmtId="0" fontId="0" fillId="0" borderId="0" xfId="0" applyAlignment="1">
      <alignment horizontal="right"/>
    </xf>
    <xf numFmtId="164" fontId="28" fillId="0" borderId="1" xfId="1" applyNumberFormat="1" applyFont="1" applyFill="1" applyBorder="1" applyAlignment="1">
      <alignment horizontal="center" vertical="center"/>
    </xf>
    <xf numFmtId="164" fontId="0" fillId="0" borderId="0" xfId="0" applyNumberFormat="1" applyAlignment="1">
      <alignment horizontal="center"/>
    </xf>
    <xf numFmtId="0" fontId="0" fillId="10" borderId="7" xfId="0" applyFill="1" applyBorder="1" applyAlignment="1">
      <alignment horizontal="center"/>
    </xf>
    <xf numFmtId="0" fontId="0" fillId="0" borderId="7" xfId="0" applyBorder="1"/>
    <xf numFmtId="0" fontId="0" fillId="0" borderId="7" xfId="0" applyBorder="1" applyAlignment="1">
      <alignment horizontal="center"/>
    </xf>
    <xf numFmtId="2" fontId="0" fillId="0" borderId="0" xfId="0" applyNumberFormat="1" applyAlignment="1">
      <alignment horizontal="center"/>
    </xf>
    <xf numFmtId="168" fontId="0" fillId="0" borderId="0" xfId="0" applyNumberFormat="1" applyFill="1" applyAlignment="1">
      <alignment horizontal="center"/>
    </xf>
    <xf numFmtId="168" fontId="0" fillId="0" borderId="0" xfId="0" applyNumberFormat="1"/>
    <xf numFmtId="0" fontId="0" fillId="13" borderId="23" xfId="0" applyFill="1" applyBorder="1"/>
    <xf numFmtId="0" fontId="0" fillId="13" borderId="23" xfId="0" applyFill="1" applyBorder="1" applyAlignment="1">
      <alignment horizontal="right"/>
    </xf>
    <xf numFmtId="169" fontId="0" fillId="13" borderId="23" xfId="2" applyNumberFormat="1" applyFont="1" applyFill="1" applyBorder="1" applyAlignment="1">
      <alignment horizontal="center"/>
    </xf>
    <xf numFmtId="44" fontId="0" fillId="10" borderId="23" xfId="0" applyNumberFormat="1" applyFill="1" applyBorder="1"/>
    <xf numFmtId="0" fontId="21" fillId="0" borderId="0" xfId="6"/>
    <xf numFmtId="0" fontId="0" fillId="0" borderId="0" xfId="0" applyAlignment="1">
      <alignment vertical="top" wrapText="1"/>
    </xf>
    <xf numFmtId="170" fontId="0" fillId="10" borderId="23" xfId="1" applyNumberFormat="1" applyFont="1" applyFill="1" applyBorder="1" applyAlignment="1">
      <alignment horizontal="right"/>
    </xf>
    <xf numFmtId="0" fontId="0" fillId="13" borderId="23" xfId="0" applyFill="1" applyBorder="1" applyAlignment="1">
      <alignment horizontal="center"/>
    </xf>
    <xf numFmtId="0" fontId="3" fillId="0" borderId="0" xfId="0" applyFont="1"/>
    <xf numFmtId="3" fontId="3" fillId="0" borderId="0" xfId="0" applyNumberFormat="1" applyFont="1" applyAlignment="1">
      <alignment horizontal="center"/>
    </xf>
    <xf numFmtId="3" fontId="0" fillId="0" borderId="0" xfId="0" applyNumberFormat="1"/>
    <xf numFmtId="171" fontId="0" fillId="0" borderId="0" xfId="3" applyNumberFormat="1" applyFont="1"/>
    <xf numFmtId="0" fontId="0" fillId="0" borderId="0" xfId="0" applyAlignment="1">
      <alignment wrapText="1"/>
    </xf>
    <xf numFmtId="0" fontId="21" fillId="3" borderId="0" xfId="6" applyFill="1" applyAlignment="1">
      <alignment horizontal="right" wrapText="1"/>
    </xf>
    <xf numFmtId="0" fontId="26" fillId="3" borderId="0" xfId="0" applyFont="1" applyFill="1" applyAlignment="1">
      <alignment horizontal="right" wrapText="1"/>
    </xf>
    <xf numFmtId="165" fontId="0" fillId="0" borderId="0" xfId="0" applyNumberFormat="1" applyAlignment="1">
      <alignment horizontal="center"/>
    </xf>
    <xf numFmtId="164" fontId="0" fillId="0" borderId="0" xfId="0" applyNumberFormat="1" applyFont="1" applyBorder="1" applyAlignment="1">
      <alignment horizontal="center"/>
    </xf>
    <xf numFmtId="164" fontId="3" fillId="12" borderId="1" xfId="0" applyNumberFormat="1" applyFont="1" applyFill="1" applyBorder="1" applyAlignment="1">
      <alignment horizontal="center" vertical="center"/>
    </xf>
    <xf numFmtId="164" fontId="3" fillId="10" borderId="3" xfId="0" applyNumberFormat="1" applyFont="1" applyFill="1" applyBorder="1" applyAlignment="1">
      <alignment horizontal="center"/>
    </xf>
    <xf numFmtId="164" fontId="0" fillId="0" borderId="0" xfId="0" applyNumberFormat="1"/>
    <xf numFmtId="3" fontId="30" fillId="0" borderId="0" xfId="0" applyNumberFormat="1" applyFont="1" applyFill="1" applyBorder="1" applyAlignment="1">
      <alignment vertical="center"/>
    </xf>
    <xf numFmtId="10" fontId="30" fillId="0" borderId="0" xfId="0" applyNumberFormat="1" applyFont="1" applyFill="1" applyBorder="1" applyAlignment="1">
      <alignment vertical="center"/>
    </xf>
    <xf numFmtId="9" fontId="0" fillId="0" borderId="0" xfId="0" applyNumberFormat="1" applyFill="1" applyBorder="1"/>
    <xf numFmtId="0" fontId="0" fillId="0" borderId="0" xfId="0" applyFill="1" applyBorder="1"/>
    <xf numFmtId="9" fontId="0" fillId="0" borderId="0" xfId="3" applyFont="1" applyFill="1" applyBorder="1"/>
    <xf numFmtId="3" fontId="0" fillId="0" borderId="0" xfId="0" applyNumberFormat="1" applyFill="1" applyBorder="1"/>
    <xf numFmtId="3" fontId="30"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164" fontId="0" fillId="0" borderId="11" xfId="0" applyNumberFormat="1" applyBorder="1" applyAlignment="1">
      <alignment horizontal="center"/>
    </xf>
    <xf numFmtId="0" fontId="3" fillId="0" borderId="6" xfId="0" applyFont="1" applyFill="1" applyBorder="1" applyAlignment="1">
      <alignment horizontal="center"/>
    </xf>
    <xf numFmtId="164" fontId="0" fillId="0" borderId="5" xfId="0" applyNumberFormat="1" applyFill="1" applyBorder="1" applyAlignment="1">
      <alignment horizontal="center"/>
    </xf>
    <xf numFmtId="164" fontId="3" fillId="0" borderId="0" xfId="0" applyNumberFormat="1" applyFont="1" applyFill="1" applyBorder="1" applyAlignment="1">
      <alignment horizontal="center"/>
    </xf>
    <xf numFmtId="164" fontId="24" fillId="0" borderId="0" xfId="5" applyNumberFormat="1" applyFont="1" applyFill="1" applyBorder="1" applyAlignment="1">
      <alignment horizontal="center"/>
    </xf>
    <xf numFmtId="164" fontId="22" fillId="3" borderId="0" xfId="6" applyNumberFormat="1" applyFont="1" applyFill="1" applyBorder="1" applyAlignment="1">
      <alignment horizontal="right"/>
    </xf>
    <xf numFmtId="0" fontId="26" fillId="3" borderId="0" xfId="0" applyFont="1" applyFill="1" applyAlignment="1">
      <alignment horizontal="right"/>
    </xf>
    <xf numFmtId="0" fontId="24" fillId="0" borderId="0" xfId="5" applyFont="1" applyFill="1" applyBorder="1" applyAlignment="1">
      <alignment horizontal="right"/>
    </xf>
    <xf numFmtId="168" fontId="0" fillId="0" borderId="7" xfId="0" applyNumberFormat="1" applyFill="1" applyBorder="1" applyAlignment="1">
      <alignment horizontal="center"/>
    </xf>
    <xf numFmtId="2" fontId="0" fillId="0" borderId="0" xfId="0" applyNumberFormat="1" applyFill="1" applyAlignment="1">
      <alignment horizontal="center"/>
    </xf>
    <xf numFmtId="0" fontId="0" fillId="0" borderId="7" xfId="0" applyFill="1" applyBorder="1" applyAlignment="1">
      <alignment horizontal="center"/>
    </xf>
    <xf numFmtId="168" fontId="0" fillId="13" borderId="0" xfId="0" applyNumberFormat="1" applyFill="1" applyAlignment="1">
      <alignment horizontal="center"/>
    </xf>
    <xf numFmtId="3" fontId="0" fillId="13" borderId="0" xfId="0" applyNumberFormat="1" applyFill="1" applyAlignment="1">
      <alignment horizontal="center"/>
    </xf>
    <xf numFmtId="164" fontId="31" fillId="0" borderId="0" xfId="1" applyNumberFormat="1" applyFont="1" applyFill="1" applyBorder="1" applyAlignment="1">
      <alignment horizontal="center" vertical="center"/>
    </xf>
    <xf numFmtId="164" fontId="31" fillId="0" borderId="7" xfId="1" applyNumberFormat="1" applyFont="1" applyFill="1" applyBorder="1" applyAlignment="1">
      <alignment horizontal="center" vertical="center"/>
    </xf>
    <xf numFmtId="164" fontId="11" fillId="0" borderId="6" xfId="3" applyNumberFormat="1" applyFont="1" applyFill="1" applyBorder="1" applyAlignment="1">
      <alignment horizontal="center"/>
    </xf>
    <xf numFmtId="3" fontId="0" fillId="0" borderId="3" xfId="0" applyNumberFormat="1" applyFont="1" applyBorder="1" applyAlignment="1">
      <alignment horizontal="center"/>
    </xf>
    <xf numFmtId="164" fontId="31" fillId="0" borderId="7" xfId="5" applyNumberFormat="1" applyFont="1" applyFill="1" applyBorder="1" applyAlignment="1">
      <alignment horizontal="center"/>
    </xf>
    <xf numFmtId="3" fontId="11" fillId="0" borderId="0" xfId="5" applyNumberFormat="1" applyFont="1" applyFill="1" applyBorder="1" applyAlignment="1">
      <alignment horizontal="center" vertical="center"/>
    </xf>
    <xf numFmtId="164" fontId="11" fillId="0" borderId="0" xfId="5" applyNumberFormat="1" applyFont="1" applyFill="1" applyBorder="1" applyAlignment="1">
      <alignment horizontal="center"/>
    </xf>
    <xf numFmtId="3" fontId="0" fillId="0" borderId="0" xfId="0" applyNumberFormat="1" applyFont="1" applyFill="1" applyAlignment="1">
      <alignment horizontal="center"/>
    </xf>
    <xf numFmtId="164" fontId="31" fillId="0" borderId="0" xfId="5" applyNumberFormat="1" applyFont="1" applyFill="1" applyBorder="1" applyAlignment="1">
      <alignment horizontal="center"/>
    </xf>
    <xf numFmtId="0" fontId="0" fillId="0" borderId="24"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Fill="1" applyBorder="1" applyAlignment="1">
      <alignment horizontal="left" vertical="center" indent="1"/>
    </xf>
    <xf numFmtId="3" fontId="0" fillId="0" borderId="28" xfId="0" applyNumberFormat="1" applyFill="1" applyBorder="1" applyAlignment="1">
      <alignment vertical="center"/>
    </xf>
    <xf numFmtId="10" fontId="0" fillId="0" borderId="28" xfId="0" applyNumberFormat="1" applyFill="1" applyBorder="1" applyAlignment="1">
      <alignment vertical="center"/>
    </xf>
    <xf numFmtId="0" fontId="0" fillId="0" borderId="29" xfId="0" applyBorder="1"/>
    <xf numFmtId="3" fontId="11" fillId="7" borderId="1" xfId="0" applyNumberFormat="1" applyFont="1" applyFill="1" applyBorder="1" applyAlignment="1">
      <alignment horizontal="center" vertical="center"/>
    </xf>
    <xf numFmtId="0" fontId="0" fillId="0" borderId="0" xfId="0" applyFill="1" applyAlignment="1" applyProtection="1">
      <alignment horizontal="center"/>
      <protection locked="0"/>
    </xf>
    <xf numFmtId="0" fontId="0" fillId="0" borderId="0" xfId="0" applyFill="1"/>
    <xf numFmtId="0" fontId="0" fillId="0" borderId="0" xfId="0" applyFill="1" applyAlignment="1">
      <alignment horizontal="center"/>
    </xf>
    <xf numFmtId="0" fontId="3" fillId="16" borderId="0" xfId="0" applyFont="1" applyFill="1" applyAlignment="1"/>
    <xf numFmtId="164" fontId="3" fillId="16" borderId="0" xfId="0" applyNumberFormat="1" applyFont="1" applyFill="1" applyBorder="1" applyAlignment="1">
      <alignment horizontal="center"/>
    </xf>
    <xf numFmtId="0" fontId="0" fillId="0" borderId="0" xfId="0" applyFill="1" applyAlignment="1"/>
    <xf numFmtId="164" fontId="32" fillId="0" borderId="1" xfId="1" applyNumberFormat="1" applyFont="1" applyFill="1" applyBorder="1" applyAlignment="1">
      <alignment horizontal="center" vertical="center"/>
    </xf>
    <xf numFmtId="0" fontId="0" fillId="0" borderId="7" xfId="0" applyFill="1" applyBorder="1" applyAlignment="1">
      <alignment horizontal="left"/>
    </xf>
    <xf numFmtId="0" fontId="27" fillId="0" borderId="0" xfId="5" applyFont="1" applyFill="1" applyBorder="1" applyAlignment="1">
      <alignment wrapText="1"/>
    </xf>
    <xf numFmtId="0" fontId="0" fillId="0" borderId="0" xfId="0" applyBorder="1" applyAlignment="1">
      <alignment wrapText="1"/>
    </xf>
    <xf numFmtId="0" fontId="18" fillId="0" borderId="0" xfId="5" applyFont="1" applyFill="1" applyBorder="1" applyAlignment="1">
      <alignment vertical="top" wrapText="1"/>
    </xf>
    <xf numFmtId="0" fontId="0" fillId="0" borderId="0" xfId="0" applyFill="1" applyAlignment="1">
      <alignment wrapText="1"/>
    </xf>
    <xf numFmtId="164" fontId="21" fillId="3" borderId="0" xfId="6" applyNumberFormat="1" applyFill="1" applyBorder="1" applyAlignment="1">
      <alignment horizontal="right" wrapText="1"/>
    </xf>
    <xf numFmtId="0" fontId="21" fillId="3" borderId="0" xfId="6" applyFill="1" applyAlignment="1">
      <alignment horizontal="right" wrapText="1"/>
    </xf>
    <xf numFmtId="0" fontId="12" fillId="14" borderId="0" xfId="4" applyFont="1" applyFill="1" applyAlignment="1" applyProtection="1">
      <alignment vertical="center" wrapText="1"/>
      <protection locked="0"/>
    </xf>
    <xf numFmtId="0" fontId="0" fillId="0" borderId="0" xfId="0" applyAlignment="1">
      <alignment wrapText="1"/>
    </xf>
    <xf numFmtId="164" fontId="22" fillId="3" borderId="0" xfId="6" applyNumberFormat="1" applyFont="1" applyFill="1" applyBorder="1" applyAlignment="1">
      <alignment horizontal="right" wrapText="1"/>
    </xf>
    <xf numFmtId="0" fontId="26" fillId="3" borderId="0" xfId="0" applyFont="1" applyFill="1" applyAlignment="1">
      <alignment horizontal="right" wrapText="1"/>
    </xf>
    <xf numFmtId="0" fontId="0" fillId="0" borderId="0" xfId="0" applyFont="1" applyFill="1" applyBorder="1" applyAlignment="1">
      <alignment vertical="top" wrapText="1"/>
    </xf>
    <xf numFmtId="0" fontId="12" fillId="14" borderId="0" xfId="4" applyFont="1" applyFill="1" applyBorder="1" applyAlignment="1" applyProtection="1">
      <alignment vertical="center" wrapText="1"/>
      <protection locked="0"/>
    </xf>
    <xf numFmtId="0" fontId="9" fillId="3" borderId="20" xfId="0" applyFont="1" applyFill="1" applyBorder="1" applyAlignment="1" applyProtection="1">
      <alignment horizontal="left" wrapText="1"/>
      <protection locked="0"/>
    </xf>
    <xf numFmtId="0" fontId="10" fillId="3" borderId="17" xfId="0" applyFont="1" applyFill="1" applyBorder="1" applyAlignment="1">
      <alignment wrapText="1"/>
    </xf>
    <xf numFmtId="0" fontId="0" fillId="0" borderId="17" xfId="0" applyBorder="1" applyAlignment="1">
      <alignment wrapText="1"/>
    </xf>
    <xf numFmtId="0" fontId="0" fillId="0" borderId="19" xfId="0" applyBorder="1" applyAlignment="1">
      <alignment wrapText="1"/>
    </xf>
    <xf numFmtId="0" fontId="3" fillId="10" borderId="10" xfId="0" applyFont="1" applyFill="1" applyBorder="1" applyAlignment="1">
      <alignment horizontal="center" wrapText="1"/>
    </xf>
    <xf numFmtId="0" fontId="3" fillId="10" borderId="12" xfId="0" applyFont="1" applyFill="1" applyBorder="1" applyAlignment="1">
      <alignment horizontal="center" wrapText="1"/>
    </xf>
    <xf numFmtId="0" fontId="3" fillId="10" borderId="11" xfId="0" applyFont="1" applyFill="1" applyBorder="1" applyAlignment="1">
      <alignment horizontal="center" wrapText="1"/>
    </xf>
    <xf numFmtId="0" fontId="3" fillId="9" borderId="9" xfId="0" applyFont="1" applyFill="1" applyBorder="1" applyAlignment="1">
      <alignment horizontal="center" wrapText="1"/>
    </xf>
    <xf numFmtId="0" fontId="3" fillId="9" borderId="7" xfId="0" applyFont="1" applyFill="1" applyBorder="1" applyAlignment="1">
      <alignment horizontal="center" wrapText="1"/>
    </xf>
    <xf numFmtId="164" fontId="3" fillId="0" borderId="3" xfId="0" applyNumberFormat="1" applyFont="1" applyBorder="1" applyAlignment="1">
      <alignment horizontal="center" wrapText="1"/>
    </xf>
    <xf numFmtId="0" fontId="4" fillId="2" borderId="0" xfId="4" applyFont="1" applyFill="1" applyAlignment="1" applyProtection="1">
      <alignment vertical="center" wrapText="1"/>
      <protection locked="0"/>
    </xf>
    <xf numFmtId="0" fontId="5" fillId="2" borderId="0" xfId="0" applyFont="1" applyFill="1" applyAlignment="1">
      <alignment wrapText="1"/>
    </xf>
    <xf numFmtId="0" fontId="5" fillId="0" borderId="0" xfId="0" applyFont="1" applyAlignment="1">
      <alignment wrapText="1"/>
    </xf>
    <xf numFmtId="0" fontId="9" fillId="3" borderId="14" xfId="0" applyFont="1" applyFill="1" applyBorder="1" applyAlignment="1">
      <alignment horizontal="left" vertical="center" wrapText="1"/>
    </xf>
    <xf numFmtId="0" fontId="0" fillId="0" borderId="15" xfId="0" applyBorder="1" applyAlignment="1">
      <alignment vertical="center" wrapText="1"/>
    </xf>
    <xf numFmtId="0" fontId="9" fillId="3" borderId="16" xfId="0" applyFont="1" applyFill="1" applyBorder="1" applyAlignment="1" applyProtection="1">
      <alignment horizontal="left" vertical="center" wrapText="1"/>
      <protection locked="0"/>
    </xf>
    <xf numFmtId="0" fontId="10" fillId="3"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64" fontId="0" fillId="0" borderId="0" xfId="0" applyNumberFormat="1" applyAlignment="1">
      <alignment horizontal="center" vertical="center" wrapText="1"/>
    </xf>
    <xf numFmtId="164" fontId="0" fillId="0" borderId="12" xfId="0" applyNumberFormat="1" applyBorder="1" applyAlignment="1">
      <alignment horizontal="center" vertical="center" wrapText="1"/>
    </xf>
    <xf numFmtId="164" fontId="3" fillId="0" borderId="0" xfId="0" applyNumberFormat="1" applyFont="1" applyAlignment="1">
      <alignment horizontal="center" wrapText="1"/>
    </xf>
    <xf numFmtId="0" fontId="3" fillId="9" borderId="10" xfId="0" applyFont="1" applyFill="1" applyBorder="1" applyAlignment="1">
      <alignment horizontal="center" wrapText="1"/>
    </xf>
    <xf numFmtId="0" fontId="3" fillId="9" borderId="12" xfId="0" applyFont="1" applyFill="1" applyBorder="1" applyAlignment="1">
      <alignment horizontal="center" wrapText="1"/>
    </xf>
    <xf numFmtId="0" fontId="0" fillId="0" borderId="11" xfId="0" applyBorder="1" applyAlignment="1">
      <alignment horizontal="center" wrapText="1"/>
    </xf>
    <xf numFmtId="0" fontId="9" fillId="3" borderId="2"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9" xfId="0" applyFont="1" applyFill="1" applyBorder="1" applyAlignment="1" applyProtection="1">
      <alignment horizontal="left" wrapText="1"/>
      <protection locked="0"/>
    </xf>
    <xf numFmtId="0" fontId="9" fillId="3" borderId="8" xfId="0" applyFont="1" applyFill="1" applyBorder="1" applyAlignment="1" applyProtection="1">
      <alignment horizontal="left" wrapText="1"/>
      <protection locked="0"/>
    </xf>
    <xf numFmtId="164" fontId="0" fillId="0" borderId="7" xfId="0" applyNumberFormat="1" applyBorder="1" applyAlignment="1">
      <alignment horizontal="center" vertical="center" wrapText="1"/>
    </xf>
    <xf numFmtId="164" fontId="3" fillId="16" borderId="0" xfId="0" applyNumberFormat="1" applyFont="1" applyFill="1" applyAlignment="1">
      <alignment horizontal="center" wrapText="1"/>
    </xf>
    <xf numFmtId="0" fontId="9" fillId="15" borderId="9" xfId="0" applyFont="1" applyFill="1" applyBorder="1" applyAlignment="1" applyProtection="1">
      <alignment horizontal="left" wrapText="1"/>
      <protection locked="0"/>
    </xf>
    <xf numFmtId="0" fontId="9" fillId="15" borderId="8" xfId="0" applyFont="1" applyFill="1" applyBorder="1" applyAlignment="1" applyProtection="1">
      <alignment horizontal="left" wrapText="1"/>
      <protection locked="0"/>
    </xf>
    <xf numFmtId="0" fontId="9" fillId="3" borderId="1" xfId="0" applyFont="1" applyFill="1" applyBorder="1" applyAlignment="1" applyProtection="1">
      <alignment horizontal="left" vertical="center" wrapText="1"/>
      <protection locked="0"/>
    </xf>
    <xf numFmtId="0" fontId="0" fillId="0" borderId="1" xfId="0" applyBorder="1" applyAlignment="1">
      <alignment wrapText="1"/>
    </xf>
    <xf numFmtId="3" fontId="0" fillId="0" borderId="0" xfId="0" applyNumberFormat="1" applyFill="1" applyBorder="1" applyAlignment="1">
      <alignment horizontal="left" vertical="center" wrapText="1"/>
    </xf>
    <xf numFmtId="0" fontId="0" fillId="0" borderId="0" xfId="0" applyFill="1" applyBorder="1" applyAlignment="1">
      <alignment wrapText="1"/>
    </xf>
    <xf numFmtId="164" fontId="0" fillId="0" borderId="0" xfId="0" applyNumberFormat="1" applyBorder="1" applyAlignment="1">
      <alignment horizontal="center" vertical="center" wrapText="1"/>
    </xf>
  </cellXfs>
  <cellStyles count="8">
    <cellStyle name="Comma" xfId="1" builtinId="3"/>
    <cellStyle name="Comma 4" xfId="7"/>
    <cellStyle name="Currency" xfId="2" builtinId="4"/>
    <cellStyle name="Hyperlink" xfId="6" builtinId="8"/>
    <cellStyle name="Normal" xfId="0" builtinId="0"/>
    <cellStyle name="Normal 2" xfId="5"/>
    <cellStyle name="Percent" xfId="3" builtinId="5"/>
    <cellStyle name="Title" xfId="4" builtinId="15"/>
  </cellStyles>
  <dxfs count="10">
    <dxf>
      <font>
        <b/>
        <i val="0"/>
        <color rgb="FF00B050"/>
      </font>
    </dxf>
    <dxf>
      <font>
        <b/>
        <i val="0"/>
        <color rgb="FF00B05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tabSelected="1" zoomScale="80" zoomScaleNormal="80" workbookViewId="0">
      <selection sqref="A1:H1"/>
    </sheetView>
  </sheetViews>
  <sheetFormatPr defaultRowHeight="15"/>
  <cols>
    <col min="1" max="1" width="59.7109375" bestFit="1" customWidth="1"/>
    <col min="2" max="2" width="26.5703125" customWidth="1"/>
    <col min="3" max="7" width="19.85546875" customWidth="1"/>
  </cols>
  <sheetData>
    <row r="1" spans="1:19" ht="23.45" customHeight="1">
      <c r="A1" s="244" t="s">
        <v>98</v>
      </c>
      <c r="B1" s="245"/>
      <c r="C1" s="245"/>
      <c r="D1" s="245"/>
      <c r="E1" s="245"/>
      <c r="F1" s="245"/>
      <c r="G1" s="245"/>
      <c r="H1" s="245"/>
      <c r="I1" s="249" t="s">
        <v>102</v>
      </c>
      <c r="J1" s="239"/>
      <c r="K1" s="239"/>
      <c r="L1" s="239"/>
      <c r="M1" s="239"/>
      <c r="N1" s="239"/>
      <c r="O1" s="239"/>
      <c r="P1" s="239"/>
      <c r="Q1" s="239"/>
      <c r="R1" s="239"/>
    </row>
    <row r="2" spans="1:19" ht="18.75">
      <c r="A2" s="104"/>
      <c r="B2" s="105"/>
      <c r="C2" s="106"/>
      <c r="D2" s="107"/>
      <c r="E2" s="107"/>
      <c r="F2" s="108"/>
      <c r="G2" s="108"/>
      <c r="H2" s="109"/>
      <c r="I2" s="109"/>
      <c r="J2" s="109"/>
      <c r="K2" s="109"/>
      <c r="L2" s="109"/>
      <c r="M2" s="109"/>
      <c r="N2" s="109"/>
      <c r="O2" s="109"/>
      <c r="P2" s="109"/>
      <c r="Q2" s="109"/>
      <c r="R2" s="109"/>
    </row>
    <row r="3" spans="1:19" ht="20.25">
      <c r="A3" s="110" t="s">
        <v>30</v>
      </c>
      <c r="B3" s="105"/>
      <c r="C3" s="106"/>
      <c r="D3" s="107"/>
      <c r="E3" s="107"/>
      <c r="F3" s="108"/>
      <c r="G3" s="108"/>
      <c r="H3" s="109"/>
      <c r="I3" s="238" t="s">
        <v>104</v>
      </c>
      <c r="J3" s="239"/>
      <c r="K3" s="239"/>
      <c r="L3" s="239"/>
      <c r="M3" s="239"/>
      <c r="N3" s="239"/>
      <c r="O3" s="239"/>
      <c r="P3" s="239"/>
      <c r="Q3" s="239"/>
      <c r="R3" s="239"/>
    </row>
    <row r="4" spans="1:19" ht="16.899999999999999" customHeight="1">
      <c r="A4" s="240" t="s">
        <v>110</v>
      </c>
      <c r="B4" s="241"/>
      <c r="C4" s="241"/>
      <c r="D4" s="241"/>
      <c r="E4" s="241"/>
      <c r="F4" s="241"/>
      <c r="G4" s="184"/>
      <c r="H4" s="111"/>
      <c r="I4" s="240" t="s">
        <v>112</v>
      </c>
      <c r="J4" s="245"/>
      <c r="K4" s="245"/>
      <c r="L4" s="245"/>
      <c r="M4" s="245"/>
      <c r="N4" s="245"/>
      <c r="O4" s="245"/>
      <c r="P4" s="245"/>
      <c r="Q4" s="245"/>
      <c r="R4" s="245"/>
    </row>
    <row r="5" spans="1:19" ht="14.45" customHeight="1">
      <c r="A5" s="241"/>
      <c r="B5" s="241"/>
      <c r="C5" s="241"/>
      <c r="D5" s="241"/>
      <c r="E5" s="241"/>
      <c r="F5" s="241"/>
      <c r="G5" s="184"/>
      <c r="H5" s="111"/>
      <c r="I5" s="245"/>
      <c r="J5" s="245"/>
      <c r="K5" s="245"/>
      <c r="L5" s="245"/>
      <c r="M5" s="245"/>
      <c r="N5" s="245"/>
      <c r="O5" s="245"/>
      <c r="P5" s="245"/>
      <c r="Q5" s="245"/>
      <c r="R5" s="245"/>
    </row>
    <row r="6" spans="1:19">
      <c r="A6" s="241"/>
      <c r="B6" s="241"/>
      <c r="C6" s="241"/>
      <c r="D6" s="241"/>
      <c r="E6" s="241"/>
      <c r="F6" s="241"/>
      <c r="G6" s="184"/>
      <c r="H6" s="111"/>
      <c r="I6" s="245"/>
      <c r="J6" s="245"/>
      <c r="K6" s="245"/>
      <c r="L6" s="245"/>
      <c r="M6" s="245"/>
      <c r="N6" s="245"/>
      <c r="O6" s="245"/>
      <c r="P6" s="245"/>
      <c r="Q6" s="245"/>
      <c r="R6" s="245"/>
    </row>
    <row r="7" spans="1:19" ht="20.25">
      <c r="A7" s="112" t="s">
        <v>31</v>
      </c>
      <c r="B7" s="113"/>
      <c r="C7" s="114"/>
      <c r="D7" s="115"/>
      <c r="E7" s="115"/>
      <c r="F7" s="116"/>
      <c r="G7" s="116"/>
      <c r="H7" s="109"/>
      <c r="I7" s="238" t="s">
        <v>109</v>
      </c>
      <c r="J7" s="239"/>
      <c r="K7" s="239"/>
      <c r="L7" s="239"/>
      <c r="M7" s="239"/>
      <c r="N7" s="239"/>
      <c r="O7" s="239"/>
      <c r="P7" s="239"/>
      <c r="Q7" s="239"/>
      <c r="R7" s="239"/>
    </row>
    <row r="8" spans="1:19" ht="17.45" customHeight="1">
      <c r="A8" s="117"/>
      <c r="B8" s="118">
        <v>2017</v>
      </c>
      <c r="C8" s="118">
        <v>2018</v>
      </c>
      <c r="D8" s="118">
        <v>2019</v>
      </c>
      <c r="E8" s="11" t="s">
        <v>99</v>
      </c>
      <c r="F8" s="119" t="s">
        <v>100</v>
      </c>
      <c r="G8" s="129"/>
      <c r="H8" s="129"/>
      <c r="I8" s="240" t="s">
        <v>114</v>
      </c>
      <c r="J8" s="245"/>
      <c r="K8" s="245"/>
      <c r="L8" s="245"/>
      <c r="M8" s="245"/>
      <c r="N8" s="245"/>
      <c r="O8" s="245"/>
      <c r="P8" s="245"/>
      <c r="Q8" s="245"/>
      <c r="R8" s="245"/>
    </row>
    <row r="9" spans="1:19" ht="18.75">
      <c r="A9" s="120" t="s">
        <v>37</v>
      </c>
      <c r="B9" s="130">
        <v>978013.84950000001</v>
      </c>
      <c r="C9" s="130">
        <v>1079465.8544999999</v>
      </c>
      <c r="D9" s="165">
        <f>'2019 Dashboard'!J19</f>
        <v>1069937.2012499999</v>
      </c>
      <c r="E9" s="132">
        <f>'2019 Dashboard'!G19</f>
        <v>16397504.999999998</v>
      </c>
      <c r="F9" s="121">
        <f>('2019 Dashboard'!G19/'2019 Dashboard'!H20)*('2019 Dashboard'!H20/'2019 Dashboard'!P19)</f>
        <v>0.34066860693873974</v>
      </c>
      <c r="G9" s="122"/>
      <c r="H9" s="122"/>
      <c r="I9" s="245"/>
      <c r="J9" s="245"/>
      <c r="K9" s="245"/>
      <c r="L9" s="245"/>
      <c r="M9" s="245"/>
      <c r="N9" s="245"/>
      <c r="O9" s="245"/>
      <c r="P9" s="245"/>
      <c r="Q9" s="245"/>
      <c r="R9" s="245"/>
    </row>
    <row r="10" spans="1:19" ht="24.75" customHeight="1">
      <c r="A10" s="120" t="s">
        <v>49</v>
      </c>
      <c r="B10" s="131">
        <v>1769700.1455000003</v>
      </c>
      <c r="C10" s="131">
        <v>1939784.202</v>
      </c>
      <c r="D10" s="140">
        <f>'2019 Dashboard'!K19</f>
        <v>1951658.0782499998</v>
      </c>
      <c r="E10" s="133">
        <f>'2019 Dashboard'!H19</f>
        <v>31351936.999999993</v>
      </c>
      <c r="F10" s="141">
        <f>('2019 Dashboard'!H19/'2019 Dashboard'!H20)*('2019 Dashboard'!H20/'2019 Dashboard'!P19)</f>
        <v>0.65135645347393589</v>
      </c>
      <c r="G10" s="122"/>
      <c r="H10" s="122"/>
      <c r="I10" s="245"/>
      <c r="J10" s="245"/>
      <c r="K10" s="245"/>
      <c r="L10" s="245"/>
      <c r="M10" s="245"/>
      <c r="N10" s="245"/>
      <c r="O10" s="245"/>
      <c r="P10" s="245"/>
      <c r="Q10" s="245"/>
      <c r="R10" s="245"/>
    </row>
    <row r="11" spans="1:19" ht="22.5" customHeight="1">
      <c r="A11" s="120" t="s">
        <v>38</v>
      </c>
      <c r="B11" s="123">
        <v>2747713.9950000001</v>
      </c>
      <c r="C11" s="123">
        <v>3019250.0564999999</v>
      </c>
      <c r="D11" s="187">
        <f>SUM(D9:D10)</f>
        <v>3021595.2794999997</v>
      </c>
      <c r="E11" s="132">
        <f>SUM(E9:E10)</f>
        <v>47749441.999999993</v>
      </c>
      <c r="F11" s="142">
        <f>F10+F9</f>
        <v>0.99202506041267569</v>
      </c>
      <c r="G11" s="122"/>
      <c r="H11" s="122"/>
      <c r="I11" s="238" t="s">
        <v>103</v>
      </c>
      <c r="J11" s="239"/>
      <c r="K11" s="239"/>
      <c r="L11" s="239"/>
      <c r="M11" s="239"/>
      <c r="N11" s="239"/>
      <c r="O11" s="239"/>
      <c r="P11" s="239"/>
      <c r="Q11" s="239"/>
      <c r="R11" s="239"/>
      <c r="S11" s="177"/>
    </row>
    <row r="12" spans="1:19" ht="19.899999999999999" customHeight="1">
      <c r="A12" s="109"/>
      <c r="B12" s="105"/>
      <c r="C12" s="124"/>
      <c r="D12" s="125"/>
      <c r="E12" s="125"/>
      <c r="F12" s="108"/>
      <c r="G12" s="108"/>
      <c r="H12" s="109"/>
      <c r="I12" s="240" t="s">
        <v>113</v>
      </c>
      <c r="J12" s="241"/>
      <c r="K12" s="241"/>
      <c r="L12" s="241"/>
      <c r="M12" s="241"/>
      <c r="N12" s="241"/>
      <c r="O12" s="241"/>
      <c r="P12" s="241"/>
      <c r="Q12" s="241"/>
      <c r="R12" s="241"/>
    </row>
    <row r="13" spans="1:19" ht="19.149999999999999" customHeight="1">
      <c r="A13" s="112" t="s">
        <v>32</v>
      </c>
      <c r="B13" s="113"/>
      <c r="C13" s="114"/>
      <c r="D13" s="115"/>
      <c r="E13" s="115"/>
      <c r="F13" s="116"/>
      <c r="G13" s="116"/>
      <c r="H13" s="109"/>
      <c r="I13" s="241"/>
      <c r="J13" s="241"/>
      <c r="K13" s="241"/>
      <c r="L13" s="241"/>
      <c r="M13" s="241"/>
      <c r="N13" s="241"/>
      <c r="O13" s="241"/>
      <c r="P13" s="241"/>
      <c r="Q13" s="241"/>
      <c r="R13" s="241"/>
    </row>
    <row r="14" spans="1:19" ht="18" customHeight="1">
      <c r="A14" s="117"/>
      <c r="B14" s="118">
        <v>2015</v>
      </c>
      <c r="C14" s="118">
        <v>2016</v>
      </c>
      <c r="D14" s="118">
        <v>2017</v>
      </c>
      <c r="E14" s="118">
        <v>2018</v>
      </c>
      <c r="F14" s="118">
        <v>2019</v>
      </c>
      <c r="G14" s="119" t="s">
        <v>36</v>
      </c>
      <c r="H14" s="109"/>
      <c r="I14" s="241"/>
      <c r="J14" s="241"/>
      <c r="K14" s="241"/>
      <c r="L14" s="241"/>
      <c r="M14" s="241"/>
      <c r="N14" s="241"/>
      <c r="O14" s="241"/>
      <c r="P14" s="241"/>
      <c r="Q14" s="241"/>
      <c r="R14" s="241"/>
    </row>
    <row r="15" spans="1:19" ht="19.5" customHeight="1">
      <c r="A15" s="120" t="s">
        <v>34</v>
      </c>
      <c r="B15" s="130">
        <f>'2017 Dashboard'!G25</f>
        <v>14403.35</v>
      </c>
      <c r="C15" s="130">
        <f>'2017 Dashboard'!G26</f>
        <v>1015874.86</v>
      </c>
      <c r="D15" s="130">
        <f>'2017 Dashboard'!G39</f>
        <v>88844.280000000013</v>
      </c>
      <c r="E15" s="130">
        <f>'2018 Dashboard'!G39</f>
        <v>63660.649999999994</v>
      </c>
      <c r="F15" s="213">
        <f>'2019 Dashboard'!G40</f>
        <v>65656.25</v>
      </c>
      <c r="G15" s="215">
        <f>SUM(B15:F15)</f>
        <v>1248439.3899999999</v>
      </c>
      <c r="H15" s="109"/>
      <c r="I15" s="238"/>
      <c r="J15" s="239"/>
      <c r="K15" s="239"/>
      <c r="L15" s="239"/>
      <c r="M15" s="239"/>
      <c r="N15" s="239"/>
      <c r="O15" s="239"/>
      <c r="P15" s="239"/>
      <c r="Q15" s="239"/>
      <c r="R15" s="239"/>
    </row>
    <row r="16" spans="1:19" ht="19.5" customHeight="1">
      <c r="A16" s="120" t="s">
        <v>35</v>
      </c>
      <c r="B16" s="130">
        <f>'2017 Dashboard'!K25</f>
        <v>7279.47</v>
      </c>
      <c r="C16" s="130">
        <f>'2017 Dashboard'!K26</f>
        <v>241552.42</v>
      </c>
      <c r="D16" s="130">
        <f>'2017 Dashboard'!K39</f>
        <v>201979.63999999996</v>
      </c>
      <c r="E16" s="130">
        <f>'2018 Dashboard'!K39</f>
        <v>107325.82999999999</v>
      </c>
      <c r="F16" s="213">
        <f>'2019 Dashboard'!K40</f>
        <v>60979.72</v>
      </c>
      <c r="G16" s="215">
        <f>SUM(B16:F16)</f>
        <v>619117.07999999996</v>
      </c>
      <c r="H16" s="109"/>
      <c r="I16" s="240"/>
      <c r="J16" s="241"/>
      <c r="K16" s="241"/>
      <c r="L16" s="241"/>
      <c r="M16" s="241"/>
      <c r="N16" s="241"/>
      <c r="O16" s="241"/>
      <c r="P16" s="241"/>
      <c r="Q16" s="241"/>
      <c r="R16" s="241"/>
    </row>
    <row r="17" spans="1:18" ht="19.5" customHeight="1">
      <c r="A17" s="120" t="s">
        <v>46</v>
      </c>
      <c r="B17" s="131">
        <f>'2017 Dashboard'!B44</f>
        <v>40.200000000000003</v>
      </c>
      <c r="C17" s="131">
        <f>'2017 Dashboard'!B45</f>
        <v>32832.730000000003</v>
      </c>
      <c r="D17" s="131">
        <f>'2017 Dashboard'!B46</f>
        <v>58533.86</v>
      </c>
      <c r="E17" s="131">
        <f>'2018 Dashboard'!B48</f>
        <v>66021.39</v>
      </c>
      <c r="F17" s="214">
        <f>'2019 Dashboard'!B50</f>
        <v>72631.259999999995</v>
      </c>
      <c r="G17" s="215">
        <f>SUM(B17:F17)</f>
        <v>230059.44</v>
      </c>
      <c r="H17" s="109"/>
      <c r="I17" s="240"/>
      <c r="J17" s="241"/>
      <c r="K17" s="241"/>
      <c r="L17" s="241"/>
      <c r="M17" s="241"/>
      <c r="N17" s="241"/>
      <c r="O17" s="241"/>
      <c r="P17" s="241"/>
      <c r="Q17" s="241"/>
      <c r="R17" s="241"/>
    </row>
    <row r="18" spans="1:18" ht="19.149999999999999" customHeight="1">
      <c r="A18" s="120" t="s">
        <v>36</v>
      </c>
      <c r="B18" s="236">
        <f>SUM(B15:B17)</f>
        <v>21723.02</v>
      </c>
      <c r="C18" s="236">
        <f t="shared" ref="C18:F18" si="0">SUM(C15:C17)</f>
        <v>1290260.01</v>
      </c>
      <c r="D18" s="236">
        <f t="shared" si="0"/>
        <v>349357.77999999997</v>
      </c>
      <c r="E18" s="236">
        <f t="shared" si="0"/>
        <v>237007.87</v>
      </c>
      <c r="F18" s="164">
        <f t="shared" si="0"/>
        <v>199267.22999999998</v>
      </c>
      <c r="G18" s="215">
        <f>SUM(B18:F18)</f>
        <v>2097615.91</v>
      </c>
      <c r="H18" s="109"/>
      <c r="I18" s="241"/>
      <c r="J18" s="241"/>
      <c r="K18" s="241"/>
      <c r="L18" s="241"/>
      <c r="M18" s="241"/>
      <c r="N18" s="241"/>
      <c r="O18" s="241"/>
      <c r="P18" s="241"/>
      <c r="Q18" s="241"/>
      <c r="R18" s="241"/>
    </row>
    <row r="19" spans="1:18" ht="15.75">
      <c r="A19" s="120" t="s">
        <v>26</v>
      </c>
      <c r="B19" s="130">
        <f>'2018 Dashboard'!M24</f>
        <v>48000</v>
      </c>
      <c r="C19" s="130">
        <f>'2018 Dashboard'!M25</f>
        <v>1531000</v>
      </c>
      <c r="D19" s="130">
        <f>'2018 Dashboard'!M26</f>
        <v>601000</v>
      </c>
      <c r="E19" s="130">
        <f>'2018 Dashboard'!M39</f>
        <v>612000</v>
      </c>
      <c r="F19" s="213">
        <f>'2019 Dashboard'!M40</f>
        <v>198960</v>
      </c>
      <c r="G19" s="165">
        <f>SUM(B19:F19)</f>
        <v>2990960</v>
      </c>
      <c r="H19" s="109"/>
      <c r="I19" s="241"/>
      <c r="J19" s="241"/>
      <c r="K19" s="241"/>
      <c r="L19" s="241"/>
      <c r="M19" s="241"/>
      <c r="N19" s="241"/>
      <c r="O19" s="241"/>
      <c r="P19" s="241"/>
      <c r="Q19" s="241"/>
      <c r="R19" s="241"/>
    </row>
    <row r="20" spans="1:18" ht="21.75">
      <c r="A20" s="120" t="s">
        <v>39</v>
      </c>
      <c r="B20" s="134">
        <f t="shared" ref="B20:G20" si="1">(B18/B19)-1</f>
        <v>-0.5474370833333333</v>
      </c>
      <c r="C20" s="134">
        <f t="shared" si="1"/>
        <v>-0.15724362508164602</v>
      </c>
      <c r="D20" s="134">
        <f t="shared" si="1"/>
        <v>-0.41870585690515816</v>
      </c>
      <c r="E20" s="134">
        <f t="shared" si="1"/>
        <v>-0.61273223856209147</v>
      </c>
      <c r="F20" s="134">
        <f t="shared" si="1"/>
        <v>1.5441797346198438E-3</v>
      </c>
      <c r="G20" s="134">
        <f t="shared" si="1"/>
        <v>-0.29868138992163051</v>
      </c>
      <c r="H20" s="109"/>
      <c r="I20" s="241"/>
      <c r="J20" s="241"/>
      <c r="K20" s="241"/>
      <c r="L20" s="241"/>
      <c r="M20" s="241"/>
      <c r="N20" s="241"/>
      <c r="O20" s="241"/>
      <c r="P20" s="241"/>
      <c r="Q20" s="241"/>
      <c r="R20" s="241"/>
    </row>
    <row r="21" spans="1:18" ht="21.75">
      <c r="A21" s="120"/>
      <c r="B21" s="134"/>
      <c r="C21" s="134"/>
      <c r="D21" s="134"/>
      <c r="E21" s="134"/>
      <c r="F21" s="134"/>
      <c r="G21" s="134"/>
      <c r="H21" s="109"/>
      <c r="I21" s="127"/>
      <c r="J21" s="109"/>
      <c r="K21" s="109"/>
      <c r="L21" s="109"/>
      <c r="M21" s="109"/>
      <c r="N21" s="109"/>
      <c r="O21" s="109"/>
      <c r="P21" s="109"/>
      <c r="Q21" s="109"/>
      <c r="R21" s="109"/>
    </row>
    <row r="22" spans="1:18" ht="20.25">
      <c r="A22" s="112" t="s">
        <v>33</v>
      </c>
      <c r="B22" s="113"/>
      <c r="C22" s="114"/>
      <c r="D22" s="246"/>
      <c r="E22" s="246"/>
      <c r="F22" s="247"/>
      <c r="G22" s="186"/>
      <c r="H22" s="109"/>
      <c r="I22" s="238"/>
      <c r="J22" s="239"/>
      <c r="K22" s="239"/>
      <c r="L22" s="239"/>
      <c r="M22" s="239"/>
      <c r="N22" s="239"/>
      <c r="O22" s="239"/>
      <c r="P22" s="239"/>
      <c r="Q22" s="239"/>
      <c r="R22" s="239"/>
    </row>
    <row r="23" spans="1:18" ht="15.75">
      <c r="A23" s="109"/>
      <c r="B23" s="118" t="s">
        <v>101</v>
      </c>
      <c r="C23" s="118" t="s">
        <v>42</v>
      </c>
      <c r="D23" s="108"/>
      <c r="E23" s="109"/>
      <c r="F23" s="240"/>
      <c r="G23" s="240"/>
      <c r="H23" s="248"/>
      <c r="I23" s="248"/>
      <c r="J23" s="248"/>
      <c r="K23" s="248"/>
      <c r="L23" s="248"/>
      <c r="M23" s="248"/>
      <c r="N23" s="239"/>
      <c r="O23" s="239"/>
      <c r="P23" s="239"/>
    </row>
    <row r="24" spans="1:18" ht="15.75">
      <c r="A24" s="120" t="s">
        <v>43</v>
      </c>
      <c r="B24" s="216">
        <f>'2017 Dashboard'!P19+'2018 Dashboard'!P19+'2019 Dashboard'!P19</f>
        <v>146792158.17699999</v>
      </c>
      <c r="C24" s="217">
        <f>'2017 Dashboard'!E59+'2018 Dashboard'!F60+'2019 Dashboard'!G61</f>
        <v>7747285.9469456002</v>
      </c>
      <c r="D24" s="109"/>
      <c r="E24" s="109"/>
      <c r="F24" s="248"/>
      <c r="G24" s="248"/>
      <c r="H24" s="248"/>
      <c r="I24" s="248"/>
      <c r="J24" s="248"/>
      <c r="K24" s="248"/>
      <c r="L24" s="248"/>
      <c r="M24" s="248"/>
      <c r="N24" s="239"/>
      <c r="O24" s="239"/>
      <c r="P24" s="239"/>
    </row>
    <row r="25" spans="1:18" ht="15.75">
      <c r="A25" s="120" t="s">
        <v>44</v>
      </c>
      <c r="B25" s="216">
        <f>'2018 Dashboard'!H20+'2017 Dashboard'!H20+'2019 Dashboard'!H20</f>
        <v>138871808</v>
      </c>
      <c r="C25" s="217">
        <f>B25*(C24/B24)</f>
        <v>7329271.6716382531</v>
      </c>
      <c r="D25" s="126"/>
      <c r="E25" s="61"/>
      <c r="F25" s="248"/>
      <c r="G25" s="248"/>
      <c r="H25" s="248"/>
      <c r="I25" s="248"/>
      <c r="J25" s="248"/>
      <c r="K25" s="248"/>
      <c r="L25" s="248"/>
      <c r="M25" s="248"/>
      <c r="N25" s="239"/>
      <c r="O25" s="239"/>
      <c r="P25" s="239"/>
    </row>
    <row r="26" spans="1:18" ht="15.75">
      <c r="A26" s="120" t="s">
        <v>41</v>
      </c>
      <c r="B26" s="218">
        <f>B24-B25</f>
        <v>7920350.1769999862</v>
      </c>
      <c r="C26" s="219">
        <f>C24-C25</f>
        <v>418014.27530734707</v>
      </c>
      <c r="D26" s="127"/>
      <c r="E26" s="109"/>
      <c r="F26" s="109"/>
      <c r="G26" s="109"/>
      <c r="H26" s="61"/>
      <c r="J26" s="109"/>
      <c r="K26" s="128"/>
      <c r="L26" s="109"/>
      <c r="M26" s="109"/>
      <c r="N26" s="109"/>
      <c r="O26" s="109"/>
      <c r="P26" s="109"/>
      <c r="Q26" s="109"/>
      <c r="R26" s="109"/>
    </row>
    <row r="27" spans="1:18" ht="18.75">
      <c r="A27" s="120"/>
      <c r="B27" s="120"/>
      <c r="C27" s="120"/>
      <c r="D27" s="107"/>
      <c r="E27" s="107"/>
      <c r="F27" s="61"/>
      <c r="G27" s="61"/>
      <c r="H27" s="61"/>
      <c r="I27" s="127"/>
      <c r="J27" s="109"/>
      <c r="K27" s="109"/>
      <c r="L27" s="109"/>
      <c r="M27" s="109"/>
      <c r="N27" s="109"/>
      <c r="O27" s="109"/>
      <c r="P27" s="109"/>
      <c r="Q27" s="109"/>
      <c r="R27" s="109"/>
    </row>
    <row r="28" spans="1:18" ht="18.75">
      <c r="A28" s="112" t="s">
        <v>115</v>
      </c>
      <c r="B28" s="113"/>
      <c r="C28" s="114"/>
      <c r="D28" s="242" t="s">
        <v>74</v>
      </c>
      <c r="E28" s="242"/>
      <c r="F28" s="243"/>
      <c r="G28" s="185"/>
      <c r="H28" s="61"/>
      <c r="I28" s="127"/>
      <c r="J28" s="109"/>
      <c r="K28" s="109"/>
      <c r="L28" s="109"/>
      <c r="M28" s="109"/>
      <c r="N28" s="109"/>
      <c r="O28" s="109"/>
      <c r="P28" s="109"/>
      <c r="Q28" s="109"/>
      <c r="R28" s="109"/>
    </row>
    <row r="29" spans="1:18" ht="18.75">
      <c r="A29" s="109"/>
      <c r="B29" s="118" t="s">
        <v>108</v>
      </c>
      <c r="C29" s="118" t="s">
        <v>51</v>
      </c>
      <c r="D29" s="107"/>
      <c r="E29" s="107"/>
      <c r="F29" s="108"/>
      <c r="G29" s="108"/>
      <c r="H29" s="61"/>
      <c r="I29" s="127"/>
      <c r="J29" s="109"/>
      <c r="K29" s="109"/>
      <c r="L29" s="109"/>
      <c r="M29" s="109"/>
      <c r="N29" s="109"/>
      <c r="O29" s="109"/>
      <c r="P29" s="109"/>
      <c r="Q29" s="109"/>
      <c r="R29" s="109"/>
    </row>
    <row r="30" spans="1:18" ht="15.75">
      <c r="A30" s="120" t="s">
        <v>52</v>
      </c>
      <c r="B30" s="220">
        <f>'Solar Credits Donated'!F27</f>
        <v>1847597</v>
      </c>
      <c r="C30" s="221">
        <f>'Solar Credits Donated'!F31</f>
        <v>44319.963278219046</v>
      </c>
      <c r="D30" s="109"/>
      <c r="E30" s="109"/>
      <c r="F30" s="109"/>
      <c r="G30" s="109"/>
      <c r="H30" s="61"/>
      <c r="I30" s="127"/>
      <c r="J30" s="109"/>
      <c r="K30" s="109"/>
      <c r="L30" s="109"/>
      <c r="M30" s="109"/>
      <c r="N30" s="109"/>
      <c r="O30" s="109"/>
      <c r="P30" s="109"/>
      <c r="Q30" s="109"/>
      <c r="R30" s="109"/>
    </row>
    <row r="31" spans="1:18" ht="18.75">
      <c r="A31" s="120"/>
      <c r="B31" s="120"/>
      <c r="C31" s="120"/>
      <c r="D31" s="107"/>
      <c r="E31" s="107"/>
      <c r="F31" s="61"/>
      <c r="G31" s="61"/>
      <c r="H31" s="61"/>
      <c r="I31" s="127"/>
      <c r="J31" s="109"/>
      <c r="K31" s="109"/>
      <c r="L31" s="109"/>
      <c r="M31" s="109"/>
      <c r="N31" s="109"/>
      <c r="O31" s="109"/>
      <c r="P31" s="109"/>
      <c r="Q31" s="109"/>
      <c r="R31" s="109"/>
    </row>
    <row r="32" spans="1:18" ht="18.75">
      <c r="A32" s="112" t="s">
        <v>105</v>
      </c>
      <c r="B32" s="113"/>
      <c r="C32" s="114"/>
      <c r="D32" s="205"/>
      <c r="E32" s="206"/>
      <c r="F32" s="114"/>
      <c r="G32" s="114"/>
    </row>
    <row r="33" spans="1:5" ht="18.75">
      <c r="A33" s="109"/>
      <c r="B33" s="105"/>
      <c r="C33" s="106"/>
      <c r="D33" s="107"/>
      <c r="E33" s="108"/>
    </row>
    <row r="34" spans="1:5" ht="18.75">
      <c r="A34" s="207" t="s">
        <v>111</v>
      </c>
      <c r="B34" s="204">
        <v>1663323.29</v>
      </c>
      <c r="C34" s="204"/>
      <c r="D34" s="107"/>
      <c r="E34" s="108"/>
    </row>
    <row r="35" spans="1:5" ht="18.75">
      <c r="A35" s="207" t="s">
        <v>106</v>
      </c>
      <c r="B35" s="204">
        <v>1724899.79</v>
      </c>
      <c r="C35" s="204"/>
      <c r="D35" s="107"/>
      <c r="E35" s="108"/>
    </row>
  </sheetData>
  <mergeCells count="16">
    <mergeCell ref="I15:R15"/>
    <mergeCell ref="I12:R14"/>
    <mergeCell ref="I17:R20"/>
    <mergeCell ref="D28:F28"/>
    <mergeCell ref="A1:H1"/>
    <mergeCell ref="A4:F6"/>
    <mergeCell ref="D22:F22"/>
    <mergeCell ref="I22:R22"/>
    <mergeCell ref="F23:P25"/>
    <mergeCell ref="I1:R1"/>
    <mergeCell ref="I3:R3"/>
    <mergeCell ref="I7:R7"/>
    <mergeCell ref="I16:R16"/>
    <mergeCell ref="I11:R11"/>
    <mergeCell ref="I8:R10"/>
    <mergeCell ref="I4:R6"/>
  </mergeCells>
  <conditionalFormatting sqref="H9:H10">
    <cfRule type="cellIs" dxfId="9" priority="15" operator="lessThan">
      <formula>0</formula>
    </cfRule>
    <cfRule type="cellIs" dxfId="8" priority="16" operator="greaterThan">
      <formula>0</formula>
    </cfRule>
  </conditionalFormatting>
  <conditionalFormatting sqref="E9:G10">
    <cfRule type="cellIs" dxfId="7" priority="13" operator="lessThan">
      <formula>0</formula>
    </cfRule>
    <cfRule type="cellIs" dxfId="6" priority="14" operator="greaterThan">
      <formula>0</formula>
    </cfRule>
  </conditionalFormatting>
  <conditionalFormatting sqref="H11">
    <cfRule type="cellIs" dxfId="5" priority="7" operator="lessThan">
      <formula>0</formula>
    </cfRule>
    <cfRule type="cellIs" dxfId="4" priority="8" operator="greaterThan">
      <formula>0</formula>
    </cfRule>
  </conditionalFormatting>
  <conditionalFormatting sqref="E11:G11">
    <cfRule type="cellIs" dxfId="3" priority="5" operator="lessThan">
      <formula>0</formula>
    </cfRule>
    <cfRule type="cellIs" dxfId="2" priority="6" operator="greaterThan">
      <formula>0</formula>
    </cfRule>
  </conditionalFormatting>
  <conditionalFormatting sqref="B21:G21 B20:F20">
    <cfRule type="cellIs" dxfId="1" priority="2" operator="lessThan">
      <formula>0</formula>
    </cfRule>
  </conditionalFormatting>
  <conditionalFormatting sqref="G20">
    <cfRule type="cellIs" dxfId="0" priority="1" operator="lessThan">
      <formula>0</formula>
    </cfRule>
  </conditionalFormatting>
  <hyperlinks>
    <hyperlink ref="D28:F28" location="'Solar Credits Donated'!A1" display="Click to see Solar Credits Donated Worksheet"/>
  </hyperlinks>
  <pageMargins left="0.7" right="0.7" top="0.75" bottom="0.75" header="0.3" footer="0.3"/>
  <pageSetup paperSize="3"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80" zoomScaleNormal="80" workbookViewId="0">
      <selection sqref="A1:P1"/>
    </sheetView>
  </sheetViews>
  <sheetFormatPr defaultRowHeight="15"/>
  <cols>
    <col min="1" max="1" width="14.85546875" bestFit="1" customWidth="1"/>
    <col min="2" max="2" width="11" bestFit="1" customWidth="1"/>
    <col min="3" max="3" width="8.140625" bestFit="1" customWidth="1"/>
    <col min="4" max="4" width="12.28515625" bestFit="1" customWidth="1"/>
    <col min="5" max="5" width="15.7109375" customWidth="1"/>
    <col min="6" max="6" width="12.85546875" bestFit="1" customWidth="1"/>
    <col min="7" max="7" width="17.7109375" bestFit="1" customWidth="1"/>
    <col min="8" max="8" width="14.28515625" bestFit="1" customWidth="1"/>
    <col min="9" max="9" width="13.85546875" bestFit="1" customWidth="1"/>
    <col min="10" max="10" width="11.85546875" bestFit="1" customWidth="1"/>
    <col min="11" max="12" width="13.5703125" bestFit="1" customWidth="1"/>
    <col min="13" max="13" width="14" bestFit="1" customWidth="1"/>
    <col min="14" max="14" width="13.42578125" bestFit="1" customWidth="1"/>
    <col min="15" max="15" width="10" bestFit="1" customWidth="1"/>
    <col min="16" max="16" width="11" bestFit="1" customWidth="1"/>
  </cols>
  <sheetData>
    <row r="1" spans="1:16" ht="32.25">
      <c r="A1" s="260" t="s">
        <v>0</v>
      </c>
      <c r="B1" s="261"/>
      <c r="C1" s="261"/>
      <c r="D1" s="261"/>
      <c r="E1" s="261"/>
      <c r="F1" s="261"/>
      <c r="G1" s="261"/>
      <c r="H1" s="261"/>
      <c r="I1" s="261"/>
      <c r="J1" s="261"/>
      <c r="K1" s="261"/>
      <c r="L1" s="261"/>
      <c r="M1" s="261"/>
      <c r="N1" s="261"/>
      <c r="O1" s="261"/>
      <c r="P1" s="262"/>
    </row>
    <row r="2" spans="1:16" ht="24.75" thickBot="1">
      <c r="A2" s="1"/>
      <c r="B2" s="2"/>
      <c r="C2" s="2"/>
      <c r="D2" s="2"/>
      <c r="E2" s="2"/>
      <c r="F2" s="3"/>
      <c r="G2" s="3"/>
      <c r="H2" s="3"/>
      <c r="I2" s="3"/>
      <c r="J2" s="3"/>
      <c r="K2" s="4"/>
      <c r="L2" s="4"/>
    </row>
    <row r="3" spans="1:16" ht="20.25" thickBot="1">
      <c r="A3" s="263" t="s">
        <v>1</v>
      </c>
      <c r="B3" s="264"/>
      <c r="C3" s="264"/>
      <c r="D3" s="264"/>
      <c r="E3" s="264"/>
      <c r="F3" s="264"/>
      <c r="G3" s="264"/>
      <c r="H3" s="264"/>
      <c r="I3" s="265" t="s">
        <v>2</v>
      </c>
      <c r="J3" s="266"/>
      <c r="K3" s="266"/>
      <c r="L3" s="267"/>
      <c r="M3" s="265" t="s">
        <v>3</v>
      </c>
      <c r="N3" s="266"/>
      <c r="O3" s="266"/>
      <c r="P3" s="268"/>
    </row>
    <row r="4" spans="1:16">
      <c r="A4" s="58"/>
      <c r="B4" s="269" t="s">
        <v>4</v>
      </c>
      <c r="C4" s="270"/>
      <c r="D4" s="269" t="s">
        <v>5</v>
      </c>
      <c r="E4" s="271"/>
      <c r="F4" s="270"/>
      <c r="G4" s="271" t="s">
        <v>6</v>
      </c>
      <c r="H4" s="270"/>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42736</v>
      </c>
      <c r="B6" s="18">
        <v>0</v>
      </c>
      <c r="C6" s="18">
        <v>0</v>
      </c>
      <c r="D6" s="19">
        <v>0</v>
      </c>
      <c r="E6" s="19">
        <v>0</v>
      </c>
      <c r="F6" s="19">
        <v>6</v>
      </c>
      <c r="G6" s="20">
        <f>B6+C6</f>
        <v>0</v>
      </c>
      <c r="H6" s="21">
        <f>D6+E6+F6</f>
        <v>6</v>
      </c>
      <c r="I6" s="17">
        <v>42736</v>
      </c>
      <c r="J6" s="22"/>
      <c r="K6" s="23">
        <f>H6*0.06225*200</f>
        <v>74.7</v>
      </c>
      <c r="L6" s="24">
        <f>SUM(J6:K6)</f>
        <v>74.7</v>
      </c>
      <c r="M6" s="17">
        <v>42736</v>
      </c>
      <c r="N6" s="25">
        <v>1111337</v>
      </c>
      <c r="O6" s="25">
        <v>249210</v>
      </c>
      <c r="P6" s="26">
        <v>1360547</v>
      </c>
    </row>
    <row r="7" spans="1:16">
      <c r="A7" s="17">
        <v>42767</v>
      </c>
      <c r="B7" s="18">
        <v>6368</v>
      </c>
      <c r="C7" s="18">
        <v>70</v>
      </c>
      <c r="D7" s="19">
        <v>647</v>
      </c>
      <c r="E7" s="19">
        <v>661</v>
      </c>
      <c r="F7" s="19">
        <v>9354</v>
      </c>
      <c r="G7" s="20">
        <v>6438</v>
      </c>
      <c r="H7" s="27">
        <v>10662</v>
      </c>
      <c r="I7" s="17">
        <v>42767</v>
      </c>
      <c r="J7" s="22">
        <f>G7*200*0.06525</f>
        <v>84015.900000000009</v>
      </c>
      <c r="K7" s="23">
        <f t="shared" ref="K7:K17" si="0">H7*0.06225*200</f>
        <v>132741.90000000002</v>
      </c>
      <c r="L7" s="24">
        <f t="shared" ref="L7:L17" si="1">SUM(J7:K7)</f>
        <v>216757.80000000005</v>
      </c>
      <c r="M7" s="17">
        <v>42767</v>
      </c>
      <c r="N7" s="25">
        <v>1594272</v>
      </c>
      <c r="O7" s="25">
        <v>364293</v>
      </c>
      <c r="P7" s="26">
        <v>1958565</v>
      </c>
    </row>
    <row r="8" spans="1:16">
      <c r="A8" s="17">
        <v>42795</v>
      </c>
      <c r="B8" s="18">
        <v>6663</v>
      </c>
      <c r="C8" s="18">
        <v>82</v>
      </c>
      <c r="D8" s="19">
        <v>829</v>
      </c>
      <c r="E8" s="19">
        <v>987</v>
      </c>
      <c r="F8" s="19">
        <v>10889</v>
      </c>
      <c r="G8" s="20">
        <v>6745</v>
      </c>
      <c r="H8" s="27">
        <v>12705</v>
      </c>
      <c r="I8" s="17">
        <v>42795</v>
      </c>
      <c r="J8" s="22">
        <f t="shared" ref="J8:J17" si="2">G8*200*0.06525</f>
        <v>88022.25</v>
      </c>
      <c r="K8" s="23">
        <f t="shared" si="0"/>
        <v>158177.25</v>
      </c>
      <c r="L8" s="24">
        <f t="shared" si="1"/>
        <v>246199.5</v>
      </c>
      <c r="M8" s="17">
        <v>42795</v>
      </c>
      <c r="N8" s="25">
        <v>3033670</v>
      </c>
      <c r="O8" s="25">
        <v>462882</v>
      </c>
      <c r="P8" s="26">
        <v>3496552</v>
      </c>
    </row>
    <row r="9" spans="1:16">
      <c r="A9" s="17">
        <v>42826</v>
      </c>
      <c r="B9" s="18">
        <v>6739</v>
      </c>
      <c r="C9" s="18">
        <v>77</v>
      </c>
      <c r="D9" s="19">
        <v>857</v>
      </c>
      <c r="E9" s="19">
        <v>987</v>
      </c>
      <c r="F9" s="19">
        <v>11424</v>
      </c>
      <c r="G9" s="20">
        <v>6816</v>
      </c>
      <c r="H9" s="27">
        <v>13268</v>
      </c>
      <c r="I9" s="17">
        <v>42826</v>
      </c>
      <c r="J9" s="22">
        <f t="shared" si="2"/>
        <v>88948.800000000003</v>
      </c>
      <c r="K9" s="23">
        <f t="shared" si="0"/>
        <v>165186.6</v>
      </c>
      <c r="L9" s="24">
        <f t="shared" si="1"/>
        <v>254135.40000000002</v>
      </c>
      <c r="M9" s="17">
        <v>42826</v>
      </c>
      <c r="N9" s="25">
        <v>3749570</v>
      </c>
      <c r="O9" s="25">
        <v>801746</v>
      </c>
      <c r="P9" s="26">
        <v>4551316</v>
      </c>
    </row>
    <row r="10" spans="1:16">
      <c r="A10" s="17">
        <v>42856</v>
      </c>
      <c r="B10" s="18">
        <v>6755.9</v>
      </c>
      <c r="C10" s="18">
        <v>84</v>
      </c>
      <c r="D10" s="19">
        <v>947.9</v>
      </c>
      <c r="E10" s="19">
        <v>989</v>
      </c>
      <c r="F10" s="19">
        <v>9870</v>
      </c>
      <c r="G10" s="20">
        <v>6839.9</v>
      </c>
      <c r="H10" s="27">
        <v>11806.9</v>
      </c>
      <c r="I10" s="17">
        <v>42856</v>
      </c>
      <c r="J10" s="22">
        <f t="shared" si="2"/>
        <v>89260.695000000007</v>
      </c>
      <c r="K10" s="23">
        <f t="shared" si="0"/>
        <v>146995.905</v>
      </c>
      <c r="L10" s="24">
        <f t="shared" si="1"/>
        <v>236256.6</v>
      </c>
      <c r="M10" s="17">
        <v>42856</v>
      </c>
      <c r="N10" s="25">
        <v>4796903</v>
      </c>
      <c r="O10" s="25">
        <v>1032450</v>
      </c>
      <c r="P10" s="26">
        <v>5829353</v>
      </c>
    </row>
    <row r="11" spans="1:16">
      <c r="A11" s="17">
        <v>42887</v>
      </c>
      <c r="B11" s="18">
        <v>6778.93</v>
      </c>
      <c r="C11" s="18">
        <v>76.53</v>
      </c>
      <c r="D11" s="19">
        <v>1000.93</v>
      </c>
      <c r="E11" s="19">
        <v>989</v>
      </c>
      <c r="F11" s="19">
        <v>11734</v>
      </c>
      <c r="G11" s="20">
        <v>6855.46</v>
      </c>
      <c r="H11" s="27">
        <v>13723.93</v>
      </c>
      <c r="I11" s="17">
        <v>42887</v>
      </c>
      <c r="J11" s="22">
        <f t="shared" si="2"/>
        <v>89463.752999999997</v>
      </c>
      <c r="K11" s="23">
        <f t="shared" si="0"/>
        <v>170862.92850000001</v>
      </c>
      <c r="L11" s="24">
        <f t="shared" si="1"/>
        <v>260326.68150000001</v>
      </c>
      <c r="M11" s="17">
        <v>42887</v>
      </c>
      <c r="N11" s="25">
        <v>5595631</v>
      </c>
      <c r="O11" s="25">
        <v>911279</v>
      </c>
      <c r="P11" s="26">
        <v>6506910</v>
      </c>
    </row>
    <row r="12" spans="1:16">
      <c r="A12" s="17">
        <v>42917</v>
      </c>
      <c r="B12" s="18">
        <v>6787.0150000000003</v>
      </c>
      <c r="C12" s="18">
        <v>77</v>
      </c>
      <c r="D12" s="19">
        <v>793.06500000000005</v>
      </c>
      <c r="E12" s="19">
        <v>989</v>
      </c>
      <c r="F12" s="19">
        <v>12073</v>
      </c>
      <c r="G12" s="20">
        <v>6864.0150000000003</v>
      </c>
      <c r="H12" s="27">
        <v>13855.065000000001</v>
      </c>
      <c r="I12" s="17">
        <v>42917</v>
      </c>
      <c r="J12" s="22">
        <f t="shared" si="2"/>
        <v>89575.395750000011</v>
      </c>
      <c r="K12" s="23">
        <f t="shared" si="0"/>
        <v>172495.55924999999</v>
      </c>
      <c r="L12" s="24">
        <f t="shared" si="1"/>
        <v>262070.95500000002</v>
      </c>
      <c r="M12" s="17">
        <v>42917</v>
      </c>
      <c r="N12" s="25">
        <v>4405509</v>
      </c>
      <c r="O12" s="25">
        <v>1181571</v>
      </c>
      <c r="P12" s="26">
        <v>5587080</v>
      </c>
    </row>
    <row r="13" spans="1:16">
      <c r="A13" s="17">
        <v>42948</v>
      </c>
      <c r="B13" s="18">
        <v>6795.3649999999998</v>
      </c>
      <c r="C13" s="18">
        <v>71</v>
      </c>
      <c r="D13" s="19">
        <v>977</v>
      </c>
      <c r="E13" s="19">
        <v>989</v>
      </c>
      <c r="F13" s="19">
        <v>11134</v>
      </c>
      <c r="G13" s="20">
        <v>6866.3649999999998</v>
      </c>
      <c r="H13" s="27">
        <v>13100</v>
      </c>
      <c r="I13" s="17">
        <v>42948</v>
      </c>
      <c r="J13" s="22">
        <f t="shared" si="2"/>
        <v>89606.063250000007</v>
      </c>
      <c r="K13" s="23">
        <f t="shared" si="0"/>
        <v>163095</v>
      </c>
      <c r="L13" s="24">
        <f t="shared" si="1"/>
        <v>252701.06325000001</v>
      </c>
      <c r="M13" s="17">
        <v>42948</v>
      </c>
      <c r="N13" s="25">
        <v>4586316</v>
      </c>
      <c r="O13" s="25">
        <v>656321</v>
      </c>
      <c r="P13" s="26">
        <v>5242637</v>
      </c>
    </row>
    <row r="14" spans="1:16">
      <c r="A14" s="17">
        <v>42979</v>
      </c>
      <c r="B14" s="18">
        <v>6848.8950000000004</v>
      </c>
      <c r="C14" s="18">
        <v>68.13</v>
      </c>
      <c r="D14" s="19">
        <v>770.63</v>
      </c>
      <c r="E14" s="19">
        <v>989</v>
      </c>
      <c r="F14" s="19">
        <v>10638</v>
      </c>
      <c r="G14" s="20">
        <v>6917.0250000000005</v>
      </c>
      <c r="H14" s="27">
        <v>12397.630000000001</v>
      </c>
      <c r="I14" s="17">
        <v>42979</v>
      </c>
      <c r="J14" s="22">
        <f t="shared" si="2"/>
        <v>90267.176250000004</v>
      </c>
      <c r="K14" s="23">
        <f t="shared" si="0"/>
        <v>154350.49350000001</v>
      </c>
      <c r="L14" s="24">
        <f t="shared" si="1"/>
        <v>244617.66975</v>
      </c>
      <c r="M14" s="17">
        <v>42979</v>
      </c>
      <c r="N14" s="25">
        <v>3495525</v>
      </c>
      <c r="O14" s="25">
        <v>768801</v>
      </c>
      <c r="P14" s="26">
        <v>4264326</v>
      </c>
    </row>
    <row r="15" spans="1:16">
      <c r="A15" s="17">
        <v>43009</v>
      </c>
      <c r="B15" s="18">
        <v>6821.91</v>
      </c>
      <c r="C15" s="18">
        <v>61</v>
      </c>
      <c r="D15" s="19">
        <v>966.06500000000005</v>
      </c>
      <c r="E15" s="19">
        <v>989</v>
      </c>
      <c r="F15" s="19">
        <v>11797</v>
      </c>
      <c r="G15" s="20">
        <v>6882.91</v>
      </c>
      <c r="H15" s="27">
        <v>13752.065000000001</v>
      </c>
      <c r="I15" s="17">
        <v>43009</v>
      </c>
      <c r="J15" s="22">
        <f t="shared" si="2"/>
        <v>89821.9755</v>
      </c>
      <c r="K15" s="23">
        <f t="shared" si="0"/>
        <v>171213.20925000001</v>
      </c>
      <c r="L15" s="24">
        <f t="shared" si="1"/>
        <v>261035.18475000001</v>
      </c>
      <c r="M15" s="17">
        <v>43009</v>
      </c>
      <c r="N15" s="25">
        <v>3671224</v>
      </c>
      <c r="O15" s="25">
        <v>647574</v>
      </c>
      <c r="P15" s="26">
        <v>4318798</v>
      </c>
    </row>
    <row r="16" spans="1:16">
      <c r="A16" s="17">
        <v>43040</v>
      </c>
      <c r="B16" s="18">
        <v>6827.2</v>
      </c>
      <c r="C16" s="18">
        <v>61</v>
      </c>
      <c r="D16" s="19">
        <v>742</v>
      </c>
      <c r="E16" s="19">
        <v>995</v>
      </c>
      <c r="F16" s="19">
        <v>11372</v>
      </c>
      <c r="G16" s="20">
        <v>6888.2</v>
      </c>
      <c r="H16" s="27">
        <v>13109</v>
      </c>
      <c r="I16" s="17">
        <v>43040</v>
      </c>
      <c r="J16" s="22">
        <f t="shared" si="2"/>
        <v>89891.010000000009</v>
      </c>
      <c r="K16" s="23">
        <f t="shared" si="0"/>
        <v>163207.05000000002</v>
      </c>
      <c r="L16" s="24">
        <f t="shared" si="1"/>
        <v>253098.06000000003</v>
      </c>
      <c r="M16" s="17">
        <v>43040</v>
      </c>
      <c r="N16" s="25">
        <v>2161378</v>
      </c>
      <c r="O16" s="25">
        <v>420725</v>
      </c>
      <c r="P16" s="26">
        <v>2582103</v>
      </c>
    </row>
    <row r="17" spans="1:16">
      <c r="A17" s="17">
        <v>43070</v>
      </c>
      <c r="B17" s="18">
        <v>6768.7150000000001</v>
      </c>
      <c r="C17" s="18">
        <v>62</v>
      </c>
      <c r="D17" s="19">
        <v>878</v>
      </c>
      <c r="E17" s="19">
        <v>989</v>
      </c>
      <c r="F17" s="19">
        <v>11892</v>
      </c>
      <c r="G17" s="20">
        <v>6830.7150000000001</v>
      </c>
      <c r="H17" s="27">
        <v>13759</v>
      </c>
      <c r="I17" s="17">
        <v>43070</v>
      </c>
      <c r="J17" s="22">
        <f t="shared" si="2"/>
        <v>89140.830750000008</v>
      </c>
      <c r="K17" s="23">
        <f t="shared" si="0"/>
        <v>171299.55</v>
      </c>
      <c r="L17" s="24">
        <f t="shared" si="1"/>
        <v>260440.38075000001</v>
      </c>
      <c r="M17" s="17">
        <v>43070</v>
      </c>
      <c r="N17" s="25">
        <v>2091143</v>
      </c>
      <c r="O17" s="25">
        <v>357667</v>
      </c>
      <c r="P17" s="26">
        <v>2448810</v>
      </c>
    </row>
    <row r="18" spans="1:16">
      <c r="A18" s="28" t="s">
        <v>12</v>
      </c>
      <c r="B18" s="29">
        <f>SUM(B6:B17)</f>
        <v>74153.929999999993</v>
      </c>
      <c r="C18" s="29">
        <f t="shared" ref="C18:H18" si="3">SUM(C6:C17)</f>
        <v>789.66</v>
      </c>
      <c r="D18" s="29">
        <f t="shared" si="3"/>
        <v>9408.59</v>
      </c>
      <c r="E18" s="29">
        <f t="shared" si="3"/>
        <v>10553</v>
      </c>
      <c r="F18" s="29">
        <f t="shared" si="3"/>
        <v>122183</v>
      </c>
      <c r="G18" s="29">
        <f t="shared" si="3"/>
        <v>74943.59</v>
      </c>
      <c r="H18" s="29">
        <f t="shared" si="3"/>
        <v>142144.59000000003</v>
      </c>
      <c r="I18" s="30"/>
      <c r="J18" s="31"/>
      <c r="K18" s="31"/>
      <c r="L18" s="32"/>
      <c r="M18" s="33"/>
      <c r="N18" s="34"/>
      <c r="O18" s="35"/>
      <c r="P18" s="7"/>
    </row>
    <row r="19" spans="1:16">
      <c r="A19" s="36" t="s">
        <v>11</v>
      </c>
      <c r="B19" s="37">
        <f>B18*200</f>
        <v>14830785.999999998</v>
      </c>
      <c r="C19" s="37">
        <f t="shared" ref="C19:H19" si="4">C18*200</f>
        <v>157932</v>
      </c>
      <c r="D19" s="37">
        <f t="shared" si="4"/>
        <v>1881718</v>
      </c>
      <c r="E19" s="37">
        <f t="shared" si="4"/>
        <v>2110600</v>
      </c>
      <c r="F19" s="37">
        <f t="shared" si="4"/>
        <v>24436600</v>
      </c>
      <c r="G19" s="37">
        <f t="shared" si="4"/>
        <v>14988718</v>
      </c>
      <c r="H19" s="38">
        <f t="shared" si="4"/>
        <v>28428918.000000004</v>
      </c>
      <c r="I19" s="39" t="s">
        <v>8</v>
      </c>
      <c r="J19" s="40">
        <f>SUM(J7:J17)</f>
        <v>978013.84950000001</v>
      </c>
      <c r="K19" s="41">
        <f>SUM(K6:K17)</f>
        <v>1769700.1455000003</v>
      </c>
      <c r="L19" s="42">
        <f>SUM(L6:L17)</f>
        <v>2747713.9950000001</v>
      </c>
      <c r="M19" s="13" t="s">
        <v>11</v>
      </c>
      <c r="N19" s="43">
        <f>SUM(N6:N18)</f>
        <v>40292478</v>
      </c>
      <c r="O19" s="43">
        <f>SUM(O6:O18)</f>
        <v>7854519</v>
      </c>
      <c r="P19" s="44">
        <f>SUM(P6:P17)</f>
        <v>48146997</v>
      </c>
    </row>
    <row r="20" spans="1:16" ht="15.75" thickBot="1">
      <c r="A20" s="45"/>
      <c r="B20" s="46"/>
      <c r="C20" s="47"/>
      <c r="D20" s="48"/>
      <c r="E20" s="49"/>
      <c r="F20" s="50"/>
      <c r="G20" s="51" t="s">
        <v>13</v>
      </c>
      <c r="H20" s="52">
        <f>G19+H19</f>
        <v>43417636</v>
      </c>
      <c r="I20" s="53"/>
      <c r="J20" s="54"/>
      <c r="K20" s="55"/>
      <c r="L20" s="55"/>
      <c r="M20" s="33"/>
      <c r="N20" s="56"/>
      <c r="O20" s="55"/>
      <c r="P20" s="57"/>
    </row>
    <row r="21" spans="1:16" ht="20.25" thickBot="1">
      <c r="A21" s="250" t="s">
        <v>77</v>
      </c>
      <c r="B21" s="251"/>
      <c r="C21" s="252"/>
      <c r="D21" s="252"/>
      <c r="E21" s="252"/>
      <c r="F21" s="252"/>
      <c r="G21" s="252"/>
      <c r="H21" s="252"/>
      <c r="I21" s="252"/>
      <c r="J21" s="252"/>
      <c r="K21" s="252"/>
      <c r="L21" s="252"/>
      <c r="M21" s="252"/>
      <c r="N21" s="252"/>
      <c r="O21" s="252"/>
      <c r="P21" s="253"/>
    </row>
    <row r="23" spans="1:16">
      <c r="A23" s="61"/>
      <c r="B23" s="275" t="s">
        <v>14</v>
      </c>
      <c r="C23" s="276"/>
      <c r="D23" s="276"/>
      <c r="E23" s="276"/>
      <c r="F23" s="276"/>
      <c r="G23" s="277"/>
      <c r="H23" s="254" t="s">
        <v>15</v>
      </c>
      <c r="I23" s="255"/>
      <c r="J23" s="255"/>
      <c r="K23" s="256"/>
      <c r="L23" s="61"/>
    </row>
    <row r="24" spans="1:16">
      <c r="A24" s="61"/>
      <c r="B24" s="257" t="s">
        <v>16</v>
      </c>
      <c r="C24" s="258"/>
      <c r="D24" s="258" t="s">
        <v>17</v>
      </c>
      <c r="E24" s="258"/>
      <c r="F24" s="78" t="s">
        <v>18</v>
      </c>
      <c r="G24" s="63" t="s">
        <v>19</v>
      </c>
      <c r="H24" s="64" t="s">
        <v>20</v>
      </c>
      <c r="I24" s="64" t="s">
        <v>21</v>
      </c>
      <c r="J24" s="64" t="s">
        <v>22</v>
      </c>
      <c r="K24" s="65" t="s">
        <v>23</v>
      </c>
      <c r="L24" s="99" t="s">
        <v>24</v>
      </c>
      <c r="M24" s="101" t="s">
        <v>26</v>
      </c>
      <c r="N24" s="102" t="s">
        <v>27</v>
      </c>
    </row>
    <row r="25" spans="1:16">
      <c r="A25" s="66">
        <v>2015</v>
      </c>
      <c r="B25" s="259">
        <v>14403.35</v>
      </c>
      <c r="C25" s="259"/>
      <c r="D25" s="259"/>
      <c r="E25" s="259"/>
      <c r="F25" s="67"/>
      <c r="G25" s="79">
        <f>B25+E25+F25</f>
        <v>14403.35</v>
      </c>
      <c r="H25" s="68"/>
      <c r="I25" s="68">
        <v>7279.47</v>
      </c>
      <c r="J25" s="68"/>
      <c r="K25" s="85">
        <f t="shared" ref="K25" si="5">H25+I25+J25</f>
        <v>7279.47</v>
      </c>
      <c r="L25" s="98">
        <f t="shared" ref="L25" si="6">K25+G25</f>
        <v>21682.82</v>
      </c>
      <c r="M25" s="100">
        <v>48000</v>
      </c>
      <c r="N25" s="83">
        <f>M25-L25</f>
        <v>26317.18</v>
      </c>
    </row>
    <row r="26" spans="1:16">
      <c r="A26" s="66">
        <v>2016</v>
      </c>
      <c r="B26" s="259">
        <v>140859.08000000002</v>
      </c>
      <c r="C26" s="259"/>
      <c r="D26" s="259">
        <v>26043.62</v>
      </c>
      <c r="E26" s="259"/>
      <c r="F26" s="67">
        <v>848972.16</v>
      </c>
      <c r="G26" s="80">
        <v>1015874.86</v>
      </c>
      <c r="H26" s="72">
        <v>103152.92</v>
      </c>
      <c r="I26" s="71">
        <v>0</v>
      </c>
      <c r="J26" s="71">
        <v>138399.5</v>
      </c>
      <c r="K26" s="86">
        <v>241552.42</v>
      </c>
      <c r="L26" s="96">
        <v>1257427.28</v>
      </c>
      <c r="M26" s="97">
        <v>1531000</v>
      </c>
      <c r="N26" s="84">
        <v>273572.71999999997</v>
      </c>
    </row>
    <row r="27" spans="1:16">
      <c r="A27" s="17">
        <v>42736</v>
      </c>
      <c r="B27" s="273">
        <v>4784</v>
      </c>
      <c r="C27" s="273"/>
      <c r="D27" s="273">
        <v>5809.16</v>
      </c>
      <c r="E27" s="273"/>
      <c r="F27" s="73">
        <v>1998.01</v>
      </c>
      <c r="G27" s="81">
        <f t="shared" ref="G27:G38" si="7">B27+D27+F27</f>
        <v>12591.17</v>
      </c>
      <c r="H27" s="74">
        <v>2186.5300000000002</v>
      </c>
      <c r="I27" s="75"/>
      <c r="J27" s="70"/>
      <c r="K27" s="87">
        <f>H27+I27+J27</f>
        <v>2186.5300000000002</v>
      </c>
      <c r="L27" s="82">
        <f>K27+G27</f>
        <v>14777.7</v>
      </c>
      <c r="M27" s="95">
        <v>50000</v>
      </c>
      <c r="N27" s="95">
        <f t="shared" ref="N27:N38" si="8">M28-L27</f>
        <v>35222.300000000003</v>
      </c>
    </row>
    <row r="28" spans="1:16">
      <c r="A28" s="17">
        <v>42767</v>
      </c>
      <c r="B28" s="272">
        <v>5200</v>
      </c>
      <c r="C28" s="272"/>
      <c r="D28" s="272">
        <v>1511.1</v>
      </c>
      <c r="E28" s="272"/>
      <c r="F28" s="73">
        <v>521.39</v>
      </c>
      <c r="G28" s="81">
        <f t="shared" si="7"/>
        <v>7232.4900000000007</v>
      </c>
      <c r="H28" s="74">
        <v>1451</v>
      </c>
      <c r="I28" s="75"/>
      <c r="J28" s="70"/>
      <c r="K28" s="87">
        <f>H28+I28+J28</f>
        <v>1451</v>
      </c>
      <c r="L28" s="82">
        <f>K28+G28</f>
        <v>8683.4900000000016</v>
      </c>
      <c r="M28" s="95">
        <v>50000</v>
      </c>
      <c r="N28" s="95">
        <f t="shared" si="8"/>
        <v>41316.509999999995</v>
      </c>
    </row>
    <row r="29" spans="1:16">
      <c r="A29" s="17">
        <v>42795</v>
      </c>
      <c r="B29" s="272">
        <v>6757.01</v>
      </c>
      <c r="C29" s="272"/>
      <c r="D29" s="272">
        <v>481.32</v>
      </c>
      <c r="E29" s="272"/>
      <c r="F29" s="73">
        <v>1519.05</v>
      </c>
      <c r="G29" s="81">
        <f t="shared" si="7"/>
        <v>8757.3799999999992</v>
      </c>
      <c r="H29" s="74">
        <v>8024.69</v>
      </c>
      <c r="I29" s="75"/>
      <c r="J29" s="70"/>
      <c r="K29" s="87">
        <f>H29+I29+J29</f>
        <v>8024.69</v>
      </c>
      <c r="L29" s="82">
        <f>K29+G29</f>
        <v>16782.07</v>
      </c>
      <c r="M29" s="95">
        <v>50000</v>
      </c>
      <c r="N29" s="95">
        <f t="shared" si="8"/>
        <v>33217.93</v>
      </c>
    </row>
    <row r="30" spans="1:16">
      <c r="A30" s="17">
        <v>42826</v>
      </c>
      <c r="B30" s="272">
        <v>3386</v>
      </c>
      <c r="C30" s="272"/>
      <c r="D30" s="272"/>
      <c r="E30" s="272"/>
      <c r="F30" s="73">
        <v>444.6</v>
      </c>
      <c r="G30" s="81">
        <f t="shared" si="7"/>
        <v>3830.6</v>
      </c>
      <c r="H30" s="74">
        <v>1888.93</v>
      </c>
      <c r="I30" s="75"/>
      <c r="J30" s="70"/>
      <c r="K30" s="87">
        <f>H30+I30+J30</f>
        <v>1888.93</v>
      </c>
      <c r="L30" s="82">
        <f>K30+G30</f>
        <v>5719.53</v>
      </c>
      <c r="M30" s="95">
        <v>50000</v>
      </c>
      <c r="N30" s="95">
        <f t="shared" si="8"/>
        <v>44280.47</v>
      </c>
    </row>
    <row r="31" spans="1:16">
      <c r="A31" s="17">
        <v>42856</v>
      </c>
      <c r="B31" s="272">
        <v>3731</v>
      </c>
      <c r="C31" s="272"/>
      <c r="D31" s="272"/>
      <c r="E31" s="272"/>
      <c r="F31" s="73">
        <v>37.049999999999997</v>
      </c>
      <c r="G31" s="81">
        <f t="shared" si="7"/>
        <v>3768.05</v>
      </c>
      <c r="H31" s="74">
        <v>833.33</v>
      </c>
      <c r="I31" s="70">
        <v>16.510000000000002</v>
      </c>
      <c r="J31" s="70">
        <v>20200</v>
      </c>
      <c r="K31" s="87">
        <f>H31+I31+J31</f>
        <v>21049.84</v>
      </c>
      <c r="L31" s="82">
        <f t="shared" ref="L31:L38" si="9">K31+G31</f>
        <v>24817.89</v>
      </c>
      <c r="M31" s="95">
        <v>50000</v>
      </c>
      <c r="N31" s="95">
        <f t="shared" si="8"/>
        <v>25182.11</v>
      </c>
    </row>
    <row r="32" spans="1:16">
      <c r="A32" s="17">
        <v>42887</v>
      </c>
      <c r="B32" s="272">
        <v>6216.56</v>
      </c>
      <c r="C32" s="272"/>
      <c r="D32" s="272">
        <v>6777.99</v>
      </c>
      <c r="E32" s="272"/>
      <c r="F32" s="73"/>
      <c r="G32" s="81">
        <f t="shared" si="7"/>
        <v>12994.55</v>
      </c>
      <c r="H32" s="74"/>
      <c r="I32" s="70"/>
      <c r="J32" s="70"/>
      <c r="K32" s="87">
        <f t="shared" ref="K32:K38" si="10">H32+I32+J32</f>
        <v>0</v>
      </c>
      <c r="L32" s="82">
        <f t="shared" si="9"/>
        <v>12994.55</v>
      </c>
      <c r="M32" s="95">
        <v>50000</v>
      </c>
      <c r="N32" s="95">
        <f t="shared" si="8"/>
        <v>37005.449999999997</v>
      </c>
    </row>
    <row r="33" spans="1:14">
      <c r="A33" s="17">
        <v>42917</v>
      </c>
      <c r="B33" s="272">
        <v>6788</v>
      </c>
      <c r="C33" s="272"/>
      <c r="D33" s="272">
        <v>-1072.0999999999999</v>
      </c>
      <c r="E33" s="272"/>
      <c r="F33" s="73"/>
      <c r="G33" s="81">
        <f t="shared" si="7"/>
        <v>5715.9</v>
      </c>
      <c r="H33" s="74"/>
      <c r="I33" s="70"/>
      <c r="J33" s="70">
        <v>50383</v>
      </c>
      <c r="K33" s="87">
        <f t="shared" si="10"/>
        <v>50383</v>
      </c>
      <c r="L33" s="82">
        <f t="shared" si="9"/>
        <v>56098.9</v>
      </c>
      <c r="M33" s="95">
        <v>50000</v>
      </c>
      <c r="N33" s="95">
        <f t="shared" si="8"/>
        <v>-6098.9000000000015</v>
      </c>
    </row>
    <row r="34" spans="1:14">
      <c r="A34" s="17">
        <v>42948</v>
      </c>
      <c r="B34" s="272">
        <v>5819.5</v>
      </c>
      <c r="C34" s="272"/>
      <c r="D34" s="272"/>
      <c r="E34" s="272"/>
      <c r="F34" s="73"/>
      <c r="G34" s="81">
        <f t="shared" si="7"/>
        <v>5819.5</v>
      </c>
      <c r="H34" s="74">
        <v>1051.73</v>
      </c>
      <c r="I34" s="70"/>
      <c r="J34" s="70">
        <v>12952</v>
      </c>
      <c r="K34" s="87">
        <f t="shared" si="10"/>
        <v>14003.73</v>
      </c>
      <c r="L34" s="82">
        <f t="shared" si="9"/>
        <v>19823.23</v>
      </c>
      <c r="M34" s="95">
        <v>50000</v>
      </c>
      <c r="N34" s="95">
        <f t="shared" si="8"/>
        <v>30176.77</v>
      </c>
    </row>
    <row r="35" spans="1:14">
      <c r="A35" s="17">
        <v>42979</v>
      </c>
      <c r="B35" s="272">
        <v>5946.56</v>
      </c>
      <c r="C35" s="272"/>
      <c r="D35" s="272"/>
      <c r="E35" s="272"/>
      <c r="F35" s="73"/>
      <c r="G35" s="81">
        <f t="shared" si="7"/>
        <v>5946.56</v>
      </c>
      <c r="H35" s="74">
        <v>5862.8</v>
      </c>
      <c r="I35" s="70">
        <v>1115.23</v>
      </c>
      <c r="J35" s="70">
        <v>12989</v>
      </c>
      <c r="K35" s="87">
        <f t="shared" si="10"/>
        <v>19967.03</v>
      </c>
      <c r="L35" s="82">
        <f t="shared" si="9"/>
        <v>25913.59</v>
      </c>
      <c r="M35" s="95">
        <v>50000</v>
      </c>
      <c r="N35" s="95">
        <f t="shared" si="8"/>
        <v>24086.41</v>
      </c>
    </row>
    <row r="36" spans="1:14">
      <c r="A36" s="17">
        <v>43009</v>
      </c>
      <c r="B36" s="272">
        <v>9051.77</v>
      </c>
      <c r="C36" s="272"/>
      <c r="D36" s="272"/>
      <c r="E36" s="272"/>
      <c r="F36" s="73"/>
      <c r="G36" s="81">
        <f t="shared" si="7"/>
        <v>9051.77</v>
      </c>
      <c r="H36" s="74"/>
      <c r="I36" s="70"/>
      <c r="J36" s="70">
        <v>10040</v>
      </c>
      <c r="K36" s="87">
        <f t="shared" si="10"/>
        <v>10040</v>
      </c>
      <c r="L36" s="82">
        <f t="shared" si="9"/>
        <v>19091.77</v>
      </c>
      <c r="M36" s="95">
        <v>50000</v>
      </c>
      <c r="N36" s="95">
        <f t="shared" si="8"/>
        <v>30908.23</v>
      </c>
    </row>
    <row r="37" spans="1:14">
      <c r="A37" s="17">
        <v>43040</v>
      </c>
      <c r="B37" s="272">
        <v>8882.7000000000007</v>
      </c>
      <c r="C37" s="272"/>
      <c r="D37" s="272"/>
      <c r="E37" s="272"/>
      <c r="F37" s="73"/>
      <c r="G37" s="81">
        <f t="shared" si="7"/>
        <v>8882.7000000000007</v>
      </c>
      <c r="H37" s="74">
        <v>464.19</v>
      </c>
      <c r="I37" s="70"/>
      <c r="J37" s="70">
        <v>12140.25</v>
      </c>
      <c r="K37" s="87">
        <f t="shared" si="10"/>
        <v>12604.44</v>
      </c>
      <c r="L37" s="82">
        <f t="shared" si="9"/>
        <v>21487.14</v>
      </c>
      <c r="M37" s="95">
        <v>50000</v>
      </c>
      <c r="N37" s="95">
        <f t="shared" si="8"/>
        <v>29512.86</v>
      </c>
    </row>
    <row r="38" spans="1:14">
      <c r="A38" s="17">
        <v>43070</v>
      </c>
      <c r="B38" s="282">
        <v>4180</v>
      </c>
      <c r="C38" s="282"/>
      <c r="D38" s="272">
        <v>73.61</v>
      </c>
      <c r="E38" s="272"/>
      <c r="F38" s="73"/>
      <c r="G38" s="81">
        <f t="shared" si="7"/>
        <v>4253.6099999999997</v>
      </c>
      <c r="H38" s="74">
        <v>26060.06</v>
      </c>
      <c r="I38" s="70">
        <v>26520.39</v>
      </c>
      <c r="J38" s="70">
        <v>7800</v>
      </c>
      <c r="K38" s="87">
        <f t="shared" si="10"/>
        <v>60380.45</v>
      </c>
      <c r="L38" s="82">
        <f t="shared" si="9"/>
        <v>64634.06</v>
      </c>
      <c r="M38" s="95">
        <v>51000</v>
      </c>
      <c r="N38" s="95">
        <f t="shared" si="8"/>
        <v>536365.93999999994</v>
      </c>
    </row>
    <row r="39" spans="1:14">
      <c r="A39" s="66">
        <v>2017</v>
      </c>
      <c r="B39" s="259">
        <f>SUM(B27:B38)</f>
        <v>70743.100000000006</v>
      </c>
      <c r="C39" s="259"/>
      <c r="D39" s="259">
        <f>SUM(D27:D38)</f>
        <v>13581.08</v>
      </c>
      <c r="E39" s="259"/>
      <c r="F39" s="67">
        <f t="shared" ref="F39:L39" si="11">SUM(F27:F38)</f>
        <v>4520.1000000000004</v>
      </c>
      <c r="G39" s="80">
        <f t="shared" si="11"/>
        <v>88844.280000000013</v>
      </c>
      <c r="H39" s="72">
        <f t="shared" si="11"/>
        <v>47823.259999999995</v>
      </c>
      <c r="I39" s="71">
        <f t="shared" si="11"/>
        <v>27652.13</v>
      </c>
      <c r="J39" s="71">
        <f t="shared" si="11"/>
        <v>126504.25</v>
      </c>
      <c r="K39" s="86">
        <f t="shared" si="11"/>
        <v>201979.63999999996</v>
      </c>
      <c r="L39" s="96">
        <f t="shared" si="11"/>
        <v>290823.92</v>
      </c>
      <c r="M39" s="97">
        <f>SUM(M27:M38)</f>
        <v>601000</v>
      </c>
      <c r="N39" s="84">
        <f t="shared" ref="N39" si="12">M39-L39</f>
        <v>310176.08</v>
      </c>
    </row>
    <row r="40" spans="1:14">
      <c r="A40" s="61"/>
      <c r="B40" s="62"/>
      <c r="F40" s="62"/>
      <c r="G40" s="90"/>
      <c r="H40" s="62"/>
      <c r="I40" s="62"/>
      <c r="J40" s="62"/>
      <c r="K40" s="92"/>
      <c r="L40" s="88"/>
      <c r="M40" s="94"/>
      <c r="N40" s="94"/>
    </row>
    <row r="41" spans="1:14">
      <c r="A41" s="76" t="s">
        <v>25</v>
      </c>
      <c r="B41" s="274">
        <f>B25+B26+B39</f>
        <v>226005.53000000003</v>
      </c>
      <c r="C41" s="274"/>
      <c r="D41" s="274">
        <f>D25+D26+D39</f>
        <v>39624.699999999997</v>
      </c>
      <c r="E41" s="274"/>
      <c r="F41" s="77">
        <f t="shared" ref="F41:L41" si="13">F25+F26+F39</f>
        <v>853492.26</v>
      </c>
      <c r="G41" s="91">
        <f t="shared" si="13"/>
        <v>1119122.49</v>
      </c>
      <c r="H41" s="77">
        <f t="shared" si="13"/>
        <v>150976.18</v>
      </c>
      <c r="I41" s="77">
        <f t="shared" si="13"/>
        <v>34931.599999999999</v>
      </c>
      <c r="J41" s="77">
        <f t="shared" si="13"/>
        <v>264903.75</v>
      </c>
      <c r="K41" s="93">
        <f t="shared" si="13"/>
        <v>450811.52999999997</v>
      </c>
      <c r="L41" s="89">
        <f t="shared" si="13"/>
        <v>1569934.02</v>
      </c>
      <c r="M41" s="95">
        <f>M39+M26+M25</f>
        <v>2180000</v>
      </c>
      <c r="N41" s="95">
        <f>N39+N26+N25</f>
        <v>610065.9800000001</v>
      </c>
    </row>
    <row r="43" spans="1:14" ht="19.5">
      <c r="A43" s="278" t="s">
        <v>28</v>
      </c>
      <c r="B43" s="279"/>
      <c r="D43" s="157" t="s">
        <v>40</v>
      </c>
      <c r="E43" s="158"/>
      <c r="F43" s="5"/>
      <c r="G43" s="61"/>
      <c r="H43" s="61"/>
    </row>
    <row r="44" spans="1:14" ht="15.6" customHeight="1">
      <c r="A44" s="103">
        <v>2015</v>
      </c>
      <c r="B44" s="73">
        <v>40.200000000000003</v>
      </c>
      <c r="D44" s="148"/>
      <c r="E44" s="153"/>
    </row>
    <row r="45" spans="1:14">
      <c r="A45" s="138">
        <v>2016</v>
      </c>
      <c r="B45" s="69">
        <v>32832.730000000003</v>
      </c>
      <c r="D45" s="45"/>
      <c r="E45" s="154">
        <v>2017</v>
      </c>
    </row>
    <row r="46" spans="1:14">
      <c r="A46" s="138">
        <v>2017</v>
      </c>
      <c r="B46" s="69">
        <v>58533.86</v>
      </c>
      <c r="D46" s="17">
        <v>42736</v>
      </c>
      <c r="E46" s="155">
        <v>71641.881599999993</v>
      </c>
    </row>
    <row r="47" spans="1:14">
      <c r="A47" s="138"/>
      <c r="B47" s="69"/>
      <c r="D47" s="17">
        <v>42767</v>
      </c>
      <c r="E47" s="155">
        <v>103217.232</v>
      </c>
    </row>
    <row r="48" spans="1:14" ht="19.5">
      <c r="A48" s="280" t="s">
        <v>29</v>
      </c>
      <c r="B48" s="281"/>
      <c r="D48" s="17">
        <v>42795</v>
      </c>
      <c r="E48" s="155">
        <v>184422.94560000001</v>
      </c>
    </row>
    <row r="49" spans="1:5">
      <c r="A49" s="139">
        <v>2017</v>
      </c>
      <c r="B49" s="140">
        <v>16050</v>
      </c>
      <c r="D49" s="17">
        <v>42826</v>
      </c>
      <c r="E49" s="155">
        <v>240114.48480000001</v>
      </c>
    </row>
    <row r="50" spans="1:5">
      <c r="D50" s="17">
        <v>42856</v>
      </c>
      <c r="E50" s="155">
        <v>307594.83840000001</v>
      </c>
    </row>
    <row r="51" spans="1:5">
      <c r="D51" s="17">
        <v>42887</v>
      </c>
      <c r="E51" s="155">
        <v>343369.848</v>
      </c>
    </row>
    <row r="52" spans="1:5">
      <c r="D52" s="17">
        <v>42917</v>
      </c>
      <c r="E52" s="155">
        <v>294802.82400000002</v>
      </c>
    </row>
    <row r="53" spans="1:5">
      <c r="D53" s="17">
        <v>42948</v>
      </c>
      <c r="E53" s="155">
        <v>276616.23360000004</v>
      </c>
    </row>
    <row r="54" spans="1:5">
      <c r="D54" s="17">
        <v>42979</v>
      </c>
      <c r="E54" s="155">
        <v>224961.41279999999</v>
      </c>
    </row>
    <row r="55" spans="1:5">
      <c r="D55" s="17">
        <v>43009</v>
      </c>
      <c r="E55" s="155">
        <v>227837.5344</v>
      </c>
    </row>
    <row r="56" spans="1:5">
      <c r="D56" s="17">
        <v>43040</v>
      </c>
      <c r="E56" s="155">
        <v>136140.03840000002</v>
      </c>
    </row>
    <row r="57" spans="1:5">
      <c r="D57" s="17">
        <v>43070</v>
      </c>
      <c r="E57" s="155">
        <v>129102.16799999999</v>
      </c>
    </row>
    <row r="58" spans="1:5">
      <c r="D58" s="45"/>
      <c r="E58" s="57"/>
    </row>
    <row r="59" spans="1:5">
      <c r="D59" s="136" t="s">
        <v>45</v>
      </c>
      <c r="E59" s="156">
        <f>SUM(E46:E58)</f>
        <v>2539821.4416</v>
      </c>
    </row>
  </sheetData>
  <mergeCells count="46">
    <mergeCell ref="B41:C41"/>
    <mergeCell ref="D41:E41"/>
    <mergeCell ref="B23:G23"/>
    <mergeCell ref="A43:B43"/>
    <mergeCell ref="A48:B48"/>
    <mergeCell ref="B37:C37"/>
    <mergeCell ref="D37:E37"/>
    <mergeCell ref="B38:C38"/>
    <mergeCell ref="D38:E38"/>
    <mergeCell ref="B39:C39"/>
    <mergeCell ref="D39:E39"/>
    <mergeCell ref="B34:C34"/>
    <mergeCell ref="D34:E34"/>
    <mergeCell ref="B35:C35"/>
    <mergeCell ref="D35:E35"/>
    <mergeCell ref="B36:C36"/>
    <mergeCell ref="B30:C30"/>
    <mergeCell ref="D30:E30"/>
    <mergeCell ref="D36:E36"/>
    <mergeCell ref="B31:C31"/>
    <mergeCell ref="D31:E31"/>
    <mergeCell ref="B32:C32"/>
    <mergeCell ref="D32:E32"/>
    <mergeCell ref="B33:C33"/>
    <mergeCell ref="D33:E33"/>
    <mergeCell ref="B28:C28"/>
    <mergeCell ref="D28:E28"/>
    <mergeCell ref="B29:C29"/>
    <mergeCell ref="D29:E29"/>
    <mergeCell ref="B26:C26"/>
    <mergeCell ref="D26:E26"/>
    <mergeCell ref="B27:C27"/>
    <mergeCell ref="D27:E27"/>
    <mergeCell ref="A1:P1"/>
    <mergeCell ref="A3:H3"/>
    <mergeCell ref="I3:L3"/>
    <mergeCell ref="M3:P3"/>
    <mergeCell ref="B4:C4"/>
    <mergeCell ref="D4:F4"/>
    <mergeCell ref="G4:H4"/>
    <mergeCell ref="A21:P21"/>
    <mergeCell ref="H23:K23"/>
    <mergeCell ref="B24:C24"/>
    <mergeCell ref="D24:E24"/>
    <mergeCell ref="B25:C25"/>
    <mergeCell ref="D25:E25"/>
  </mergeCells>
  <pageMargins left="0.7" right="0.7" top="0.75" bottom="0.75" header="0.3" footer="0.3"/>
  <pageSetup paperSize="3"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80" zoomScaleNormal="80" workbookViewId="0">
      <selection sqref="A1:H1"/>
    </sheetView>
  </sheetViews>
  <sheetFormatPr defaultRowHeight="15"/>
  <cols>
    <col min="1" max="1" width="14.85546875" bestFit="1" customWidth="1"/>
    <col min="2" max="2" width="11" bestFit="1" customWidth="1"/>
    <col min="3" max="3" width="8.140625" bestFit="1" customWidth="1"/>
    <col min="4" max="4" width="12.28515625" bestFit="1" customWidth="1"/>
    <col min="5" max="6" width="13.5703125" bestFit="1" customWidth="1"/>
    <col min="7" max="7" width="18.5703125" bestFit="1" customWidth="1"/>
    <col min="8" max="8" width="13.7109375" bestFit="1" customWidth="1"/>
    <col min="9" max="9" width="13.85546875" bestFit="1" customWidth="1"/>
    <col min="10" max="10" width="13.85546875" customWidth="1"/>
    <col min="11" max="11" width="15.140625" customWidth="1"/>
    <col min="12" max="12" width="14.5703125" customWidth="1"/>
    <col min="13" max="13" width="14" bestFit="1" customWidth="1"/>
    <col min="14" max="14" width="13.42578125" bestFit="1" customWidth="1"/>
    <col min="15" max="15" width="11.28515625" customWidth="1"/>
    <col min="16" max="16" width="11.7109375" bestFit="1" customWidth="1"/>
  </cols>
  <sheetData>
    <row r="1" spans="1:16" ht="32.25">
      <c r="A1" s="260" t="s">
        <v>47</v>
      </c>
      <c r="B1" s="261"/>
      <c r="C1" s="261"/>
      <c r="D1" s="261"/>
      <c r="E1" s="261"/>
      <c r="F1" s="261"/>
      <c r="G1" s="261"/>
      <c r="H1" s="261"/>
      <c r="I1" s="261"/>
      <c r="J1" s="261"/>
      <c r="K1" s="261"/>
      <c r="L1" s="261"/>
      <c r="M1" s="261"/>
      <c r="N1" s="261"/>
      <c r="O1" s="261"/>
      <c r="P1" s="262"/>
    </row>
    <row r="2" spans="1:16" ht="24.75" thickBot="1">
      <c r="A2" s="1"/>
      <c r="B2" s="2"/>
      <c r="C2" s="2"/>
      <c r="D2" s="2"/>
      <c r="E2" s="2"/>
      <c r="F2" s="3"/>
      <c r="G2" s="3"/>
      <c r="H2" s="3"/>
      <c r="I2" s="3"/>
      <c r="J2" s="3"/>
      <c r="K2" s="4"/>
      <c r="L2" s="4"/>
    </row>
    <row r="3" spans="1:16" ht="20.25" thickBot="1">
      <c r="A3" s="263" t="s">
        <v>1</v>
      </c>
      <c r="B3" s="264"/>
      <c r="C3" s="264"/>
      <c r="D3" s="264"/>
      <c r="E3" s="264"/>
      <c r="F3" s="264"/>
      <c r="G3" s="264"/>
      <c r="H3" s="264"/>
      <c r="I3" s="265" t="s">
        <v>2</v>
      </c>
      <c r="J3" s="266"/>
      <c r="K3" s="266"/>
      <c r="L3" s="267"/>
      <c r="M3" s="265" t="s">
        <v>3</v>
      </c>
      <c r="N3" s="266"/>
      <c r="O3" s="266"/>
      <c r="P3" s="268"/>
    </row>
    <row r="4" spans="1:16">
      <c r="A4" s="58"/>
      <c r="B4" s="269" t="s">
        <v>4</v>
      </c>
      <c r="C4" s="270"/>
      <c r="D4" s="269" t="s">
        <v>5</v>
      </c>
      <c r="E4" s="271"/>
      <c r="F4" s="270"/>
      <c r="G4" s="271" t="s">
        <v>6</v>
      </c>
      <c r="H4" s="270"/>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43101</v>
      </c>
      <c r="B6" s="18">
        <v>6771.125</v>
      </c>
      <c r="C6" s="18">
        <v>69</v>
      </c>
      <c r="D6" s="19">
        <v>852</v>
      </c>
      <c r="E6" s="19">
        <v>982</v>
      </c>
      <c r="F6" s="19">
        <v>10009</v>
      </c>
      <c r="G6" s="20">
        <f>B6+C6</f>
        <v>6840.125</v>
      </c>
      <c r="H6" s="159">
        <f>D6+E6+F6</f>
        <v>11843</v>
      </c>
      <c r="I6" s="17">
        <v>43101</v>
      </c>
      <c r="J6" s="22">
        <f>G6*200*0.06525</f>
        <v>89263.631250000006</v>
      </c>
      <c r="K6" s="23">
        <f>H6*0.06225*200</f>
        <v>147445.35</v>
      </c>
      <c r="L6" s="24">
        <f>SUM(J6:K6)</f>
        <v>236708.98125000001</v>
      </c>
      <c r="M6" s="17">
        <v>43101</v>
      </c>
      <c r="N6" s="25">
        <v>2099062</v>
      </c>
      <c r="O6" s="25">
        <v>435843</v>
      </c>
      <c r="P6" s="26">
        <f>SUM(N6:O6)</f>
        <v>2534905</v>
      </c>
    </row>
    <row r="7" spans="1:16">
      <c r="A7" s="17">
        <v>43132</v>
      </c>
      <c r="B7" s="18">
        <v>6761.1149999999998</v>
      </c>
      <c r="C7" s="18">
        <v>70</v>
      </c>
      <c r="D7" s="19">
        <v>722.26499999999999</v>
      </c>
      <c r="E7" s="19">
        <v>968</v>
      </c>
      <c r="F7" s="19">
        <v>11180.665000000001</v>
      </c>
      <c r="G7" s="20">
        <f t="shared" ref="G7:G17" si="0">B7+C7</f>
        <v>6831.1149999999998</v>
      </c>
      <c r="H7" s="159">
        <f t="shared" ref="H7:H17" si="1">D7+E7+F7</f>
        <v>12870.93</v>
      </c>
      <c r="I7" s="17">
        <v>43132</v>
      </c>
      <c r="J7" s="22">
        <f t="shared" ref="J7:J17" si="2">G7*200*0.06525</f>
        <v>89146.050750000009</v>
      </c>
      <c r="K7" s="23">
        <f t="shared" ref="K7:K17" si="3">H7*0.06225*200</f>
        <v>160243.0785</v>
      </c>
      <c r="L7" s="24">
        <f t="shared" ref="L7:L17" si="4">SUM(J7:K7)</f>
        <v>249389.12925</v>
      </c>
      <c r="M7" s="17">
        <v>43132</v>
      </c>
      <c r="N7" s="25">
        <v>2583035</v>
      </c>
      <c r="O7" s="25">
        <v>457613</v>
      </c>
      <c r="P7" s="26">
        <f t="shared" ref="P7:P17" si="5">SUM(N7:O7)</f>
        <v>3040648</v>
      </c>
    </row>
    <row r="8" spans="1:16">
      <c r="A8" s="17">
        <v>43160</v>
      </c>
      <c r="B8" s="18">
        <v>7005.4750000000004</v>
      </c>
      <c r="C8" s="18">
        <v>70</v>
      </c>
      <c r="D8" s="19">
        <v>708</v>
      </c>
      <c r="E8" s="19">
        <v>249</v>
      </c>
      <c r="F8" s="19">
        <v>10853</v>
      </c>
      <c r="G8" s="20">
        <f t="shared" si="0"/>
        <v>7075.4750000000004</v>
      </c>
      <c r="H8" s="159">
        <f t="shared" si="1"/>
        <v>11810</v>
      </c>
      <c r="I8" s="17">
        <v>43160</v>
      </c>
      <c r="J8" s="22">
        <f t="shared" si="2"/>
        <v>92334.94875000001</v>
      </c>
      <c r="K8" s="23">
        <f t="shared" si="3"/>
        <v>147034.5</v>
      </c>
      <c r="L8" s="24">
        <f t="shared" si="4"/>
        <v>239369.44875000001</v>
      </c>
      <c r="M8" s="17">
        <v>43160</v>
      </c>
      <c r="N8" s="25">
        <v>3751634</v>
      </c>
      <c r="O8" s="25">
        <v>394482</v>
      </c>
      <c r="P8" s="26">
        <f t="shared" si="5"/>
        <v>4146116</v>
      </c>
    </row>
    <row r="9" spans="1:16">
      <c r="A9" s="17">
        <v>43191</v>
      </c>
      <c r="B9" s="18">
        <v>6810.0950000000003</v>
      </c>
      <c r="C9" s="18">
        <v>70</v>
      </c>
      <c r="D9" s="19">
        <v>1099.4000000000001</v>
      </c>
      <c r="E9" s="19">
        <v>1806</v>
      </c>
      <c r="F9" s="19">
        <v>12043</v>
      </c>
      <c r="G9" s="20">
        <f t="shared" si="0"/>
        <v>6880.0950000000003</v>
      </c>
      <c r="H9" s="159">
        <f t="shared" si="1"/>
        <v>14948.4</v>
      </c>
      <c r="I9" s="17">
        <v>43191</v>
      </c>
      <c r="J9" s="22">
        <f t="shared" si="2"/>
        <v>89785.239750000008</v>
      </c>
      <c r="K9" s="23">
        <f t="shared" si="3"/>
        <v>186107.58</v>
      </c>
      <c r="L9" s="24">
        <f t="shared" si="4"/>
        <v>275892.81975000002</v>
      </c>
      <c r="M9" s="17">
        <v>43191</v>
      </c>
      <c r="N9" s="25">
        <v>3790460</v>
      </c>
      <c r="O9" s="25">
        <v>854798</v>
      </c>
      <c r="P9" s="26">
        <f t="shared" si="5"/>
        <v>4645258</v>
      </c>
    </row>
    <row r="10" spans="1:16">
      <c r="A10" s="17">
        <v>43221</v>
      </c>
      <c r="B10" s="18">
        <v>6616.63</v>
      </c>
      <c r="C10" s="18">
        <v>70</v>
      </c>
      <c r="D10" s="19">
        <v>676.46500000000003</v>
      </c>
      <c r="E10" s="19">
        <v>981</v>
      </c>
      <c r="F10" s="19">
        <v>10619</v>
      </c>
      <c r="G10" s="20">
        <f t="shared" si="0"/>
        <v>6686.63</v>
      </c>
      <c r="H10" s="159">
        <f t="shared" si="1"/>
        <v>12276.465</v>
      </c>
      <c r="I10" s="17">
        <v>43221</v>
      </c>
      <c r="J10" s="22">
        <f t="shared" si="2"/>
        <v>87260.521500000003</v>
      </c>
      <c r="K10" s="23">
        <f t="shared" si="3"/>
        <v>152841.98925000001</v>
      </c>
      <c r="L10" s="24">
        <f t="shared" si="4"/>
        <v>240102.51075000002</v>
      </c>
      <c r="M10" s="17">
        <v>43221</v>
      </c>
      <c r="N10" s="25">
        <v>4664218</v>
      </c>
      <c r="O10" s="25">
        <v>815070</v>
      </c>
      <c r="P10" s="26">
        <f t="shared" si="5"/>
        <v>5479288</v>
      </c>
    </row>
    <row r="11" spans="1:16">
      <c r="A11" s="17">
        <v>43252</v>
      </c>
      <c r="B11" s="18">
        <v>6851.32</v>
      </c>
      <c r="C11" s="18">
        <v>66.265000000000001</v>
      </c>
      <c r="D11" s="19">
        <v>932.16</v>
      </c>
      <c r="E11" s="19">
        <v>1151</v>
      </c>
      <c r="F11" s="19">
        <v>10999</v>
      </c>
      <c r="G11" s="20">
        <f t="shared" si="0"/>
        <v>6917.585</v>
      </c>
      <c r="H11" s="159">
        <f t="shared" si="1"/>
        <v>13082.16</v>
      </c>
      <c r="I11" s="17">
        <v>43252</v>
      </c>
      <c r="J11" s="22">
        <f t="shared" si="2"/>
        <v>90274.484250000009</v>
      </c>
      <c r="K11" s="23">
        <f t="shared" si="3"/>
        <v>162872.89199999999</v>
      </c>
      <c r="L11" s="24">
        <f t="shared" si="4"/>
        <v>253147.37625</v>
      </c>
      <c r="M11" s="17">
        <v>43252</v>
      </c>
      <c r="N11" s="25">
        <v>5853106</v>
      </c>
      <c r="O11" s="25">
        <v>926663</v>
      </c>
      <c r="P11" s="26">
        <f t="shared" si="5"/>
        <v>6779769</v>
      </c>
    </row>
    <row r="12" spans="1:16">
      <c r="A12" s="17">
        <v>43282</v>
      </c>
      <c r="B12" s="18">
        <v>6835.1949999999997</v>
      </c>
      <c r="C12" s="18">
        <v>64</v>
      </c>
      <c r="D12" s="19">
        <v>838.65499999999997</v>
      </c>
      <c r="E12" s="19">
        <v>1151</v>
      </c>
      <c r="F12" s="19">
        <v>12245.2</v>
      </c>
      <c r="G12" s="20">
        <f t="shared" si="0"/>
        <v>6899.1949999999997</v>
      </c>
      <c r="H12" s="159">
        <f t="shared" si="1"/>
        <v>14234.855000000001</v>
      </c>
      <c r="I12" s="17">
        <v>43282</v>
      </c>
      <c r="J12" s="22">
        <f t="shared" si="2"/>
        <v>90034.494749999998</v>
      </c>
      <c r="K12" s="23">
        <f t="shared" si="3"/>
        <v>177223.94475000002</v>
      </c>
      <c r="L12" s="24">
        <f t="shared" si="4"/>
        <v>267258.43950000004</v>
      </c>
      <c r="M12" s="17">
        <v>43282</v>
      </c>
      <c r="N12" s="25">
        <v>4379884</v>
      </c>
      <c r="O12" s="25">
        <v>1235167</v>
      </c>
      <c r="P12" s="26">
        <f t="shared" si="5"/>
        <v>5615051</v>
      </c>
    </row>
    <row r="13" spans="1:16">
      <c r="A13" s="17">
        <v>43313</v>
      </c>
      <c r="B13" s="18">
        <v>6800.48</v>
      </c>
      <c r="C13" s="18">
        <v>62.93</v>
      </c>
      <c r="D13" s="19">
        <v>898</v>
      </c>
      <c r="E13" s="19">
        <v>1151</v>
      </c>
      <c r="F13" s="19">
        <v>10100</v>
      </c>
      <c r="G13" s="20">
        <f t="shared" si="0"/>
        <v>6863.41</v>
      </c>
      <c r="H13" s="159">
        <f t="shared" si="1"/>
        <v>12149</v>
      </c>
      <c r="I13" s="17">
        <v>43313</v>
      </c>
      <c r="J13" s="22">
        <f t="shared" si="2"/>
        <v>89567.500500000009</v>
      </c>
      <c r="K13" s="23">
        <f t="shared" si="3"/>
        <v>151255.05000000002</v>
      </c>
      <c r="L13" s="24">
        <f t="shared" si="4"/>
        <v>240822.55050000001</v>
      </c>
      <c r="M13" s="17">
        <v>43313</v>
      </c>
      <c r="N13" s="25">
        <v>4470187</v>
      </c>
      <c r="O13" s="25">
        <v>735177</v>
      </c>
      <c r="P13" s="26">
        <f t="shared" si="5"/>
        <v>5205364</v>
      </c>
    </row>
    <row r="14" spans="1:16">
      <c r="A14" s="17">
        <v>43344</v>
      </c>
      <c r="B14" s="18">
        <v>6997.335</v>
      </c>
      <c r="C14" s="18">
        <v>65.599999999999994</v>
      </c>
      <c r="D14" s="19">
        <v>916</v>
      </c>
      <c r="E14" s="19">
        <v>1233.2</v>
      </c>
      <c r="F14" s="19">
        <v>10496.33</v>
      </c>
      <c r="G14" s="20">
        <f t="shared" si="0"/>
        <v>7062.9350000000004</v>
      </c>
      <c r="H14" s="159">
        <f t="shared" si="1"/>
        <v>12645.529999999999</v>
      </c>
      <c r="I14" s="17">
        <v>43344</v>
      </c>
      <c r="J14" s="22">
        <f t="shared" si="2"/>
        <v>92171.301749999999</v>
      </c>
      <c r="K14" s="23">
        <f t="shared" si="3"/>
        <v>157436.84849999996</v>
      </c>
      <c r="L14" s="24">
        <f t="shared" si="4"/>
        <v>249608.15024999995</v>
      </c>
      <c r="M14" s="17">
        <v>43344</v>
      </c>
      <c r="N14" s="25">
        <v>4243722</v>
      </c>
      <c r="O14" s="25">
        <v>1026513</v>
      </c>
      <c r="P14" s="26">
        <f t="shared" si="5"/>
        <v>5270235</v>
      </c>
    </row>
    <row r="15" spans="1:16">
      <c r="A15" s="17">
        <v>43374</v>
      </c>
      <c r="B15" s="18">
        <v>6820.6549999999997</v>
      </c>
      <c r="C15" s="18">
        <v>68</v>
      </c>
      <c r="D15" s="19">
        <v>893</v>
      </c>
      <c r="E15" s="19">
        <v>981</v>
      </c>
      <c r="F15" s="19">
        <v>11591</v>
      </c>
      <c r="G15" s="20">
        <f t="shared" si="0"/>
        <v>6888.6549999999997</v>
      </c>
      <c r="H15" s="159">
        <f t="shared" si="1"/>
        <v>13465</v>
      </c>
      <c r="I15" s="17">
        <v>43374</v>
      </c>
      <c r="J15" s="22">
        <f t="shared" si="2"/>
        <v>89896.947750000007</v>
      </c>
      <c r="K15" s="23">
        <f t="shared" si="3"/>
        <v>167639.25</v>
      </c>
      <c r="L15" s="24">
        <f t="shared" si="4"/>
        <v>257536.19774999999</v>
      </c>
      <c r="M15" s="17">
        <v>43374</v>
      </c>
      <c r="N15" s="25">
        <v>3035636</v>
      </c>
      <c r="O15" s="25">
        <v>369026</v>
      </c>
      <c r="P15" s="26">
        <f t="shared" si="5"/>
        <v>3404662</v>
      </c>
    </row>
    <row r="16" spans="1:16">
      <c r="A16" s="17">
        <v>43405</v>
      </c>
      <c r="B16" s="18">
        <v>6855.7449999999999</v>
      </c>
      <c r="C16" s="18">
        <v>56</v>
      </c>
      <c r="D16" s="19">
        <v>829.49</v>
      </c>
      <c r="E16" s="19">
        <v>981</v>
      </c>
      <c r="F16" s="19">
        <v>11412</v>
      </c>
      <c r="G16" s="20">
        <f t="shared" si="0"/>
        <v>6911.7449999999999</v>
      </c>
      <c r="H16" s="159">
        <f t="shared" si="1"/>
        <v>13222.49</v>
      </c>
      <c r="I16" s="17">
        <v>43405</v>
      </c>
      <c r="J16" s="22">
        <f t="shared" si="2"/>
        <v>90198.272250000009</v>
      </c>
      <c r="K16" s="23">
        <f t="shared" si="3"/>
        <v>164620.00049999999</v>
      </c>
      <c r="L16" s="24">
        <f t="shared" si="4"/>
        <v>254818.27275</v>
      </c>
      <c r="M16" s="17">
        <v>43405</v>
      </c>
      <c r="N16" s="25">
        <v>2405862</v>
      </c>
      <c r="O16" s="25">
        <v>365483</v>
      </c>
      <c r="P16" s="26">
        <f t="shared" si="5"/>
        <v>2771345</v>
      </c>
    </row>
    <row r="17" spans="1:16">
      <c r="A17" s="17">
        <v>43435</v>
      </c>
      <c r="B17" s="18">
        <v>6811.7250000000004</v>
      </c>
      <c r="C17" s="18">
        <v>49</v>
      </c>
      <c r="D17" s="19">
        <v>841.13</v>
      </c>
      <c r="E17" s="19">
        <v>1097</v>
      </c>
      <c r="F17" s="19">
        <v>11320</v>
      </c>
      <c r="G17" s="20">
        <f t="shared" si="0"/>
        <v>6860.7250000000004</v>
      </c>
      <c r="H17" s="159">
        <f t="shared" si="1"/>
        <v>13258.130000000001</v>
      </c>
      <c r="I17" s="17">
        <v>43435</v>
      </c>
      <c r="J17" s="22">
        <f t="shared" si="2"/>
        <v>89532.461250000008</v>
      </c>
      <c r="K17" s="23">
        <f t="shared" si="3"/>
        <v>165063.71850000002</v>
      </c>
      <c r="L17" s="24">
        <f t="shared" si="4"/>
        <v>254596.17975000001</v>
      </c>
      <c r="M17" s="17">
        <v>43435</v>
      </c>
      <c r="N17" s="25">
        <v>1347405</v>
      </c>
      <c r="O17" s="25">
        <v>271813</v>
      </c>
      <c r="P17" s="26">
        <f t="shared" si="5"/>
        <v>1619218</v>
      </c>
    </row>
    <row r="18" spans="1:16">
      <c r="A18" s="28" t="s">
        <v>12</v>
      </c>
      <c r="B18" s="29">
        <f>SUM(B6:B17)</f>
        <v>81936.895000000004</v>
      </c>
      <c r="C18" s="29">
        <f t="shared" ref="C18:H18" si="6">SUM(C6:C17)</f>
        <v>780.79499999999996</v>
      </c>
      <c r="D18" s="29">
        <f t="shared" si="6"/>
        <v>10206.564999999999</v>
      </c>
      <c r="E18" s="29">
        <f t="shared" si="6"/>
        <v>12731.2</v>
      </c>
      <c r="F18" s="29">
        <f t="shared" si="6"/>
        <v>132868.19500000001</v>
      </c>
      <c r="G18" s="29">
        <f t="shared" si="6"/>
        <v>82717.69</v>
      </c>
      <c r="H18" s="160">
        <f t="shared" si="6"/>
        <v>155805.96</v>
      </c>
      <c r="I18" s="30"/>
      <c r="J18" s="31"/>
      <c r="K18" s="31"/>
      <c r="L18" s="32"/>
      <c r="M18" s="33"/>
      <c r="N18" s="34"/>
      <c r="O18" s="35"/>
      <c r="P18" s="7"/>
    </row>
    <row r="19" spans="1:16">
      <c r="A19" s="36" t="s">
        <v>11</v>
      </c>
      <c r="B19" s="37">
        <f>B18*200</f>
        <v>16387379</v>
      </c>
      <c r="C19" s="37">
        <f t="shared" ref="C19:H19" si="7">C18*200</f>
        <v>156159</v>
      </c>
      <c r="D19" s="37">
        <f t="shared" si="7"/>
        <v>2041312.9999999998</v>
      </c>
      <c r="E19" s="37">
        <f t="shared" si="7"/>
        <v>2546240</v>
      </c>
      <c r="F19" s="37">
        <f t="shared" si="7"/>
        <v>26573639</v>
      </c>
      <c r="G19" s="37">
        <f t="shared" si="7"/>
        <v>16543538</v>
      </c>
      <c r="H19" s="38">
        <f t="shared" si="7"/>
        <v>31161192</v>
      </c>
      <c r="I19" s="39" t="s">
        <v>8</v>
      </c>
      <c r="J19" s="40">
        <f>SUM(J6:J18)</f>
        <v>1079465.8544999999</v>
      </c>
      <c r="K19" s="41">
        <f>SUM(K6:K18)</f>
        <v>1939784.202</v>
      </c>
      <c r="L19" s="42">
        <f>SUM(L6:L17)</f>
        <v>3019250.0564999999</v>
      </c>
      <c r="M19" s="13" t="s">
        <v>11</v>
      </c>
      <c r="N19" s="43">
        <f>SUM(N6:N18)</f>
        <v>42624211</v>
      </c>
      <c r="O19" s="43">
        <f>SUM(O6:O18)</f>
        <v>7887648</v>
      </c>
      <c r="P19" s="44">
        <f>SUM(P6:P17)</f>
        <v>50511859</v>
      </c>
    </row>
    <row r="20" spans="1:16" ht="15.75" thickBot="1">
      <c r="A20" s="45"/>
      <c r="B20" s="46"/>
      <c r="C20" s="47"/>
      <c r="D20" s="48"/>
      <c r="E20" s="49"/>
      <c r="F20" s="50"/>
      <c r="G20" s="51" t="s">
        <v>13</v>
      </c>
      <c r="H20" s="52">
        <f>G19+H19</f>
        <v>47704730</v>
      </c>
      <c r="I20" s="53"/>
      <c r="J20" s="54"/>
      <c r="K20" s="55"/>
      <c r="L20" s="55"/>
      <c r="M20" s="33"/>
      <c r="N20" s="56"/>
      <c r="O20" s="55"/>
      <c r="P20" s="57"/>
    </row>
    <row r="21" spans="1:16" ht="20.25" thickBot="1">
      <c r="A21" s="250" t="s">
        <v>76</v>
      </c>
      <c r="B21" s="251"/>
      <c r="C21" s="252"/>
      <c r="D21" s="252"/>
      <c r="E21" s="252"/>
      <c r="F21" s="252"/>
      <c r="G21" s="252"/>
      <c r="H21" s="252"/>
      <c r="I21" s="252"/>
      <c r="J21" s="252"/>
      <c r="K21" s="252"/>
      <c r="L21" s="252"/>
      <c r="M21" s="252"/>
      <c r="N21" s="252"/>
      <c r="O21" s="252"/>
      <c r="P21" s="253"/>
    </row>
    <row r="22" spans="1:16">
      <c r="A22" s="61"/>
      <c r="B22" s="275" t="s">
        <v>14</v>
      </c>
      <c r="C22" s="276"/>
      <c r="D22" s="276"/>
      <c r="E22" s="276"/>
      <c r="F22" s="276"/>
      <c r="G22" s="277"/>
      <c r="H22" s="254" t="s">
        <v>15</v>
      </c>
      <c r="I22" s="255"/>
      <c r="J22" s="255"/>
      <c r="K22" s="256"/>
      <c r="L22" s="61"/>
    </row>
    <row r="23" spans="1:16">
      <c r="A23" s="61"/>
      <c r="B23" s="257" t="s">
        <v>16</v>
      </c>
      <c r="C23" s="258"/>
      <c r="D23" s="258" t="s">
        <v>17</v>
      </c>
      <c r="E23" s="258"/>
      <c r="F23" s="78" t="s">
        <v>18</v>
      </c>
      <c r="G23" s="63" t="s">
        <v>19</v>
      </c>
      <c r="H23" s="64" t="s">
        <v>20</v>
      </c>
      <c r="I23" s="64" t="s">
        <v>21</v>
      </c>
      <c r="J23" s="64" t="s">
        <v>22</v>
      </c>
      <c r="K23" s="65" t="s">
        <v>23</v>
      </c>
      <c r="L23" s="99" t="s">
        <v>24</v>
      </c>
      <c r="M23" s="101" t="s">
        <v>26</v>
      </c>
      <c r="N23" s="161" t="s">
        <v>27</v>
      </c>
    </row>
    <row r="24" spans="1:16">
      <c r="A24" s="66">
        <v>2015</v>
      </c>
      <c r="B24" s="259">
        <v>14403.35</v>
      </c>
      <c r="C24" s="259"/>
      <c r="D24" s="259"/>
      <c r="E24" s="259"/>
      <c r="F24" s="67"/>
      <c r="G24" s="79">
        <f>B24+E24+F24</f>
        <v>14403.35</v>
      </c>
      <c r="H24" s="68"/>
      <c r="I24" s="68">
        <v>7279.47</v>
      </c>
      <c r="J24" s="68"/>
      <c r="K24" s="85">
        <f t="shared" ref="K24" si="8">H24+I24+J24</f>
        <v>7279.47</v>
      </c>
      <c r="L24" s="98">
        <f t="shared" ref="L24" si="9">K24+G24</f>
        <v>21682.82</v>
      </c>
      <c r="M24" s="100">
        <v>48000</v>
      </c>
      <c r="N24" s="162">
        <f>M24-L24</f>
        <v>26317.18</v>
      </c>
    </row>
    <row r="25" spans="1:16">
      <c r="A25" s="66">
        <v>2016</v>
      </c>
      <c r="B25" s="259">
        <v>140859.08000000002</v>
      </c>
      <c r="C25" s="259"/>
      <c r="D25" s="259">
        <v>26043.62</v>
      </c>
      <c r="E25" s="259"/>
      <c r="F25" s="67">
        <v>848972.16</v>
      </c>
      <c r="G25" s="80">
        <v>1015874.86</v>
      </c>
      <c r="H25" s="72">
        <v>103152.92</v>
      </c>
      <c r="I25" s="71">
        <v>0</v>
      </c>
      <c r="J25" s="71">
        <v>138399.5</v>
      </c>
      <c r="K25" s="86">
        <v>241552.42</v>
      </c>
      <c r="L25" s="96">
        <v>1257427.28</v>
      </c>
      <c r="M25" s="97">
        <v>1531000</v>
      </c>
      <c r="N25" s="162">
        <v>273572.71999999997</v>
      </c>
    </row>
    <row r="26" spans="1:16">
      <c r="A26" s="66">
        <v>2017</v>
      </c>
      <c r="B26" s="259">
        <v>70743.100000000006</v>
      </c>
      <c r="C26" s="259"/>
      <c r="D26" s="259">
        <v>13581.08</v>
      </c>
      <c r="E26" s="259"/>
      <c r="F26" s="67">
        <v>4520.1000000000004</v>
      </c>
      <c r="G26" s="80">
        <v>88844.280000000013</v>
      </c>
      <c r="H26" s="72">
        <v>47823.259999999995</v>
      </c>
      <c r="I26" s="71">
        <v>27652.13</v>
      </c>
      <c r="J26" s="71">
        <v>126504.25</v>
      </c>
      <c r="K26" s="86">
        <v>201979.63999999996</v>
      </c>
      <c r="L26" s="96">
        <v>290823.92</v>
      </c>
      <c r="M26" s="97">
        <v>601000</v>
      </c>
      <c r="N26" s="162">
        <v>310176.08</v>
      </c>
    </row>
    <row r="27" spans="1:16">
      <c r="A27" s="17">
        <v>43101</v>
      </c>
      <c r="B27" s="272">
        <v>5606.5</v>
      </c>
      <c r="C27" s="272"/>
      <c r="D27" s="273"/>
      <c r="E27" s="273"/>
      <c r="F27" s="143"/>
      <c r="G27" s="144">
        <f t="shared" ref="G27:G38" si="10">B27+D27+F27</f>
        <v>5606.5</v>
      </c>
      <c r="H27" s="74"/>
      <c r="I27" s="70"/>
      <c r="J27" s="70">
        <v>10276.75</v>
      </c>
      <c r="K27" s="87">
        <f>H27+I27+J27</f>
        <v>10276.75</v>
      </c>
      <c r="L27" s="82">
        <f>K27+G27</f>
        <v>15883.25</v>
      </c>
      <c r="M27" s="95">
        <v>51000</v>
      </c>
      <c r="N27" s="162">
        <f t="shared" ref="N27:N38" si="11">M27-L27</f>
        <v>35116.75</v>
      </c>
    </row>
    <row r="28" spans="1:16">
      <c r="A28" s="17">
        <v>43132</v>
      </c>
      <c r="B28" s="272">
        <v>5211</v>
      </c>
      <c r="C28" s="272"/>
      <c r="D28" s="272"/>
      <c r="E28" s="272"/>
      <c r="F28" s="143"/>
      <c r="G28" s="145">
        <f t="shared" si="10"/>
        <v>5211</v>
      </c>
      <c r="H28" s="74">
        <v>75</v>
      </c>
      <c r="I28" s="70"/>
      <c r="J28" s="70"/>
      <c r="K28" s="87">
        <f>H28+I28+J28</f>
        <v>75</v>
      </c>
      <c r="L28" s="82">
        <f>K28+G28</f>
        <v>5286</v>
      </c>
      <c r="M28" s="95">
        <v>51000</v>
      </c>
      <c r="N28" s="162">
        <f t="shared" si="11"/>
        <v>45714</v>
      </c>
    </row>
    <row r="29" spans="1:16">
      <c r="A29" s="17">
        <v>43160</v>
      </c>
      <c r="B29" s="272">
        <v>4399.5</v>
      </c>
      <c r="C29" s="272"/>
      <c r="D29" s="272"/>
      <c r="E29" s="272"/>
      <c r="F29" s="143"/>
      <c r="G29" s="145">
        <f t="shared" si="10"/>
        <v>4399.5</v>
      </c>
      <c r="H29" s="74"/>
      <c r="I29" s="70">
        <v>63.3</v>
      </c>
      <c r="J29" s="70">
        <v>12492.25</v>
      </c>
      <c r="K29" s="87">
        <f>H29+I29+J29</f>
        <v>12555.55</v>
      </c>
      <c r="L29" s="82">
        <f>K29+G29</f>
        <v>16955.05</v>
      </c>
      <c r="M29" s="95">
        <v>51000</v>
      </c>
      <c r="N29" s="162">
        <f t="shared" si="11"/>
        <v>34044.949999999997</v>
      </c>
    </row>
    <row r="30" spans="1:16">
      <c r="A30" s="17">
        <v>43191</v>
      </c>
      <c r="B30" s="272">
        <v>5935</v>
      </c>
      <c r="C30" s="272"/>
      <c r="D30" s="272">
        <v>0</v>
      </c>
      <c r="E30" s="272"/>
      <c r="F30" s="143"/>
      <c r="G30" s="145">
        <f t="shared" si="10"/>
        <v>5935</v>
      </c>
      <c r="H30" s="74">
        <v>1195.6199999999999</v>
      </c>
      <c r="I30" s="70">
        <v>9204.25</v>
      </c>
      <c r="J30" s="70">
        <v>5114</v>
      </c>
      <c r="K30" s="87">
        <f>H30+I30+J30</f>
        <v>15513.869999999999</v>
      </c>
      <c r="L30" s="82">
        <f>K30+G30</f>
        <v>21448.87</v>
      </c>
      <c r="M30" s="95">
        <v>51000</v>
      </c>
      <c r="N30" s="162">
        <f t="shared" si="11"/>
        <v>29551.13</v>
      </c>
    </row>
    <row r="31" spans="1:16">
      <c r="A31" s="17">
        <v>43221</v>
      </c>
      <c r="B31" s="272">
        <v>2860</v>
      </c>
      <c r="C31" s="272"/>
      <c r="D31" s="272"/>
      <c r="E31" s="272"/>
      <c r="F31" s="143"/>
      <c r="G31" s="145">
        <f t="shared" si="10"/>
        <v>2860</v>
      </c>
      <c r="H31" s="74">
        <v>1325.09</v>
      </c>
      <c r="I31" s="70">
        <v>15.83</v>
      </c>
      <c r="J31" s="70">
        <v>7092.25</v>
      </c>
      <c r="K31" s="87">
        <f>H31+I31+J31</f>
        <v>8433.17</v>
      </c>
      <c r="L31" s="82">
        <f t="shared" ref="L31:L38" si="12">K31+G31</f>
        <v>11293.17</v>
      </c>
      <c r="M31" s="95">
        <v>51000</v>
      </c>
      <c r="N31" s="162">
        <f t="shared" si="11"/>
        <v>39706.83</v>
      </c>
    </row>
    <row r="32" spans="1:16">
      <c r="A32" s="17">
        <v>43252</v>
      </c>
      <c r="B32" s="272">
        <v>6240.74</v>
      </c>
      <c r="C32" s="272"/>
      <c r="D32" s="272">
        <v>0</v>
      </c>
      <c r="E32" s="272"/>
      <c r="F32" s="143"/>
      <c r="G32" s="145">
        <f t="shared" si="10"/>
        <v>6240.74</v>
      </c>
      <c r="H32" s="74">
        <v>200</v>
      </c>
      <c r="I32" s="70">
        <v>1190.45</v>
      </c>
      <c r="J32" s="70">
        <v>2928</v>
      </c>
      <c r="K32" s="87">
        <f t="shared" ref="K32:K38" si="13">H32+I32+J32</f>
        <v>4318.45</v>
      </c>
      <c r="L32" s="82">
        <f t="shared" si="12"/>
        <v>10559.189999999999</v>
      </c>
      <c r="M32" s="95">
        <v>51000</v>
      </c>
      <c r="N32" s="162">
        <f t="shared" si="11"/>
        <v>40440.81</v>
      </c>
    </row>
    <row r="33" spans="1:14">
      <c r="A33" s="17">
        <v>43282</v>
      </c>
      <c r="B33" s="272">
        <v>5600</v>
      </c>
      <c r="C33" s="272"/>
      <c r="D33" s="272">
        <v>0</v>
      </c>
      <c r="E33" s="272"/>
      <c r="F33" s="143"/>
      <c r="G33" s="145">
        <f t="shared" si="10"/>
        <v>5600</v>
      </c>
      <c r="H33" s="74">
        <v>1701.65</v>
      </c>
      <c r="I33" s="70">
        <v>170</v>
      </c>
      <c r="J33" s="70">
        <v>10164.25</v>
      </c>
      <c r="K33" s="87">
        <f t="shared" si="13"/>
        <v>12035.9</v>
      </c>
      <c r="L33" s="82">
        <f t="shared" si="12"/>
        <v>17635.900000000001</v>
      </c>
      <c r="M33" s="95">
        <v>51000</v>
      </c>
      <c r="N33" s="162">
        <f t="shared" si="11"/>
        <v>33364.1</v>
      </c>
    </row>
    <row r="34" spans="1:14">
      <c r="A34" s="17">
        <v>43313</v>
      </c>
      <c r="B34" s="272">
        <v>7889.13</v>
      </c>
      <c r="C34" s="272"/>
      <c r="D34" s="272">
        <v>8604.2000000000007</v>
      </c>
      <c r="E34" s="272"/>
      <c r="F34" s="143"/>
      <c r="G34" s="145">
        <f t="shared" si="10"/>
        <v>16493.330000000002</v>
      </c>
      <c r="H34" s="74">
        <v>272.8</v>
      </c>
      <c r="I34" s="70">
        <v>0</v>
      </c>
      <c r="J34" s="70">
        <v>1040</v>
      </c>
      <c r="K34" s="87">
        <f t="shared" si="13"/>
        <v>1312.8</v>
      </c>
      <c r="L34" s="82">
        <f t="shared" si="12"/>
        <v>17806.13</v>
      </c>
      <c r="M34" s="95">
        <v>51000</v>
      </c>
      <c r="N34" s="162">
        <f t="shared" si="11"/>
        <v>33193.869999999995</v>
      </c>
    </row>
    <row r="35" spans="1:14">
      <c r="A35" s="17">
        <v>43344</v>
      </c>
      <c r="B35" s="272">
        <v>2418</v>
      </c>
      <c r="C35" s="272"/>
      <c r="D35" s="272">
        <v>204.06</v>
      </c>
      <c r="E35" s="272"/>
      <c r="F35" s="143"/>
      <c r="G35" s="145">
        <f t="shared" si="10"/>
        <v>2622.06</v>
      </c>
      <c r="H35" s="74">
        <v>0</v>
      </c>
      <c r="I35" s="70">
        <v>0</v>
      </c>
      <c r="J35" s="70">
        <v>8649.75</v>
      </c>
      <c r="K35" s="87">
        <f t="shared" si="13"/>
        <v>8649.75</v>
      </c>
      <c r="L35" s="82">
        <f t="shared" si="12"/>
        <v>11271.81</v>
      </c>
      <c r="M35" s="95">
        <v>51000</v>
      </c>
      <c r="N35" s="162">
        <f t="shared" si="11"/>
        <v>39728.19</v>
      </c>
    </row>
    <row r="36" spans="1:14">
      <c r="A36" s="17">
        <v>43374</v>
      </c>
      <c r="B36" s="272">
        <v>2687.74</v>
      </c>
      <c r="C36" s="272"/>
      <c r="D36" s="272">
        <v>0</v>
      </c>
      <c r="E36" s="272"/>
      <c r="F36" s="143"/>
      <c r="G36" s="145">
        <f t="shared" si="10"/>
        <v>2687.74</v>
      </c>
      <c r="H36" s="74">
        <v>799.7</v>
      </c>
      <c r="I36" s="70">
        <v>0</v>
      </c>
      <c r="J36" s="70">
        <v>17086.5</v>
      </c>
      <c r="K36" s="87">
        <f t="shared" si="13"/>
        <v>17886.2</v>
      </c>
      <c r="L36" s="82">
        <f t="shared" si="12"/>
        <v>20573.940000000002</v>
      </c>
      <c r="M36" s="95">
        <v>51000</v>
      </c>
      <c r="N36" s="162">
        <f t="shared" si="11"/>
        <v>30426.059999999998</v>
      </c>
    </row>
    <row r="37" spans="1:14">
      <c r="A37" s="17">
        <v>43405</v>
      </c>
      <c r="B37" s="272">
        <v>5867.28</v>
      </c>
      <c r="C37" s="272"/>
      <c r="D37" s="272">
        <v>0</v>
      </c>
      <c r="E37" s="272"/>
      <c r="F37" s="143"/>
      <c r="G37" s="145">
        <f t="shared" si="10"/>
        <v>5867.28</v>
      </c>
      <c r="H37" s="74">
        <v>0</v>
      </c>
      <c r="I37" s="70">
        <v>0</v>
      </c>
      <c r="J37" s="70">
        <v>0</v>
      </c>
      <c r="K37" s="87">
        <f t="shared" si="13"/>
        <v>0</v>
      </c>
      <c r="L37" s="82">
        <f t="shared" si="12"/>
        <v>5867.28</v>
      </c>
      <c r="M37" s="95">
        <v>51000</v>
      </c>
      <c r="N37" s="162">
        <f t="shared" si="11"/>
        <v>45132.72</v>
      </c>
    </row>
    <row r="38" spans="1:14">
      <c r="A38" s="17">
        <v>43435</v>
      </c>
      <c r="B38" s="272">
        <v>137.5</v>
      </c>
      <c r="C38" s="272"/>
      <c r="D38" s="272">
        <v>0</v>
      </c>
      <c r="E38" s="272"/>
      <c r="F38" s="143"/>
      <c r="G38" s="146">
        <f t="shared" si="10"/>
        <v>137.5</v>
      </c>
      <c r="H38" s="74">
        <v>7708.57</v>
      </c>
      <c r="I38" s="70">
        <v>0</v>
      </c>
      <c r="J38" s="70">
        <v>8559.82</v>
      </c>
      <c r="K38" s="87">
        <f t="shared" si="13"/>
        <v>16268.39</v>
      </c>
      <c r="L38" s="82">
        <f t="shared" si="12"/>
        <v>16405.89</v>
      </c>
      <c r="M38" s="95">
        <v>51000</v>
      </c>
      <c r="N38" s="162">
        <f t="shared" si="11"/>
        <v>34594.11</v>
      </c>
    </row>
    <row r="39" spans="1:14">
      <c r="A39" s="66">
        <v>2018</v>
      </c>
      <c r="B39" s="259">
        <f>SUM(B27:B38)</f>
        <v>54852.389999999992</v>
      </c>
      <c r="C39" s="259"/>
      <c r="D39" s="259">
        <f>SUM(D27:D38)</f>
        <v>8808.26</v>
      </c>
      <c r="E39" s="259"/>
      <c r="F39" s="67">
        <f t="shared" ref="F39:L39" si="14">SUM(F27:F38)</f>
        <v>0</v>
      </c>
      <c r="G39" s="80">
        <f t="shared" si="14"/>
        <v>63660.649999999994</v>
      </c>
      <c r="H39" s="72">
        <f t="shared" si="14"/>
        <v>13278.43</v>
      </c>
      <c r="I39" s="71">
        <f t="shared" si="14"/>
        <v>10643.83</v>
      </c>
      <c r="J39" s="71">
        <f t="shared" si="14"/>
        <v>83403.570000000007</v>
      </c>
      <c r="K39" s="86">
        <f t="shared" si="14"/>
        <v>107325.82999999999</v>
      </c>
      <c r="L39" s="96">
        <f t="shared" si="14"/>
        <v>170986.47999999998</v>
      </c>
      <c r="M39" s="97">
        <f>SUM(M27:M38)</f>
        <v>612000</v>
      </c>
      <c r="N39" s="162">
        <f t="shared" ref="N39" si="15">M39-L39</f>
        <v>441013.52</v>
      </c>
    </row>
    <row r="40" spans="1:14">
      <c r="A40" s="61"/>
      <c r="B40" s="62"/>
      <c r="F40" s="62"/>
      <c r="G40" s="232"/>
      <c r="H40" s="232"/>
      <c r="I40" s="232"/>
      <c r="J40" s="232"/>
      <c r="K40" s="230"/>
      <c r="L40" s="230"/>
      <c r="M40" s="231"/>
      <c r="N40" s="231"/>
    </row>
    <row r="41" spans="1:14">
      <c r="A41" s="233" t="s">
        <v>25</v>
      </c>
      <c r="B41" s="283">
        <f>B24+B25+B26+B39</f>
        <v>280857.92000000004</v>
      </c>
      <c r="C41" s="283"/>
      <c r="D41" s="283">
        <f>D24+D25+D26+D39</f>
        <v>48432.959999999999</v>
      </c>
      <c r="E41" s="283"/>
      <c r="F41" s="234">
        <f>F26+F25+F24+F39</f>
        <v>853492.26</v>
      </c>
      <c r="G41" s="91">
        <f>G24+G25+G26+G39</f>
        <v>1182783.1399999999</v>
      </c>
      <c r="H41" s="234">
        <f>H26+H25+H24+H39</f>
        <v>164254.60999999999</v>
      </c>
      <c r="I41" s="234">
        <f>I26+I25+I24+I39</f>
        <v>45575.43</v>
      </c>
      <c r="J41" s="234">
        <f>J26+J25+J24+J39</f>
        <v>348307.32</v>
      </c>
      <c r="K41" s="234">
        <f>K26+K25+K24+K39</f>
        <v>558137.35999999987</v>
      </c>
      <c r="L41" s="89">
        <f>L24+L25+L26+L39</f>
        <v>1740920.5</v>
      </c>
      <c r="M41" s="95">
        <f>M26+M25+M24+M39</f>
        <v>2792000</v>
      </c>
      <c r="N41" s="95">
        <f>N26+N25+N24+N39</f>
        <v>1051079.5</v>
      </c>
    </row>
    <row r="42" spans="1:14">
      <c r="M42" s="163" t="s">
        <v>50</v>
      </c>
      <c r="N42" s="95">
        <f>N41-B45-B46-B47-B48+B50+B51</f>
        <v>927251.32000000007</v>
      </c>
    </row>
    <row r="43" spans="1:14">
      <c r="M43" s="163"/>
      <c r="N43" s="203"/>
    </row>
    <row r="44" spans="1:14" ht="15" customHeight="1">
      <c r="A44" s="278" t="s">
        <v>28</v>
      </c>
      <c r="B44" s="279"/>
      <c r="D44" s="286" t="s">
        <v>40</v>
      </c>
      <c r="E44" s="287"/>
      <c r="F44" s="287"/>
      <c r="G44" s="287"/>
    </row>
    <row r="45" spans="1:14" ht="15" customHeight="1">
      <c r="A45" s="103">
        <v>2015</v>
      </c>
      <c r="B45" s="73">
        <v>40.200000000000003</v>
      </c>
      <c r="D45" s="148"/>
      <c r="E45" s="149"/>
      <c r="F45" s="149"/>
      <c r="G45" s="150"/>
    </row>
    <row r="46" spans="1:14" ht="15" customHeight="1">
      <c r="A46" s="138">
        <v>2016</v>
      </c>
      <c r="B46" s="69">
        <v>32832.730000000003</v>
      </c>
      <c r="D46" s="45"/>
      <c r="E46" s="135">
        <v>2017</v>
      </c>
      <c r="F46" s="135">
        <v>2018</v>
      </c>
      <c r="G46" s="154" t="s">
        <v>48</v>
      </c>
    </row>
    <row r="47" spans="1:14" ht="15" customHeight="1">
      <c r="A47" s="138">
        <v>2017</v>
      </c>
      <c r="B47" s="69">
        <v>58533.86</v>
      </c>
      <c r="D47" s="17" t="s">
        <v>84</v>
      </c>
      <c r="E47" s="147">
        <v>71641.881599999993</v>
      </c>
      <c r="F47" s="147">
        <v>133647.984</v>
      </c>
      <c r="G47" s="155">
        <f>SUM(E47:F47)</f>
        <v>205289.86559999999</v>
      </c>
    </row>
    <row r="48" spans="1:14" ht="15" customHeight="1">
      <c r="A48" s="138">
        <v>2018</v>
      </c>
      <c r="B48" s="69">
        <v>66021.39</v>
      </c>
      <c r="D48" s="17" t="s">
        <v>85</v>
      </c>
      <c r="E48" s="147">
        <v>103217.232</v>
      </c>
      <c r="F48" s="147">
        <v>160511.21</v>
      </c>
      <c r="G48" s="155">
        <f t="shared" ref="G48:G58" si="16">SUM(E48:F48)</f>
        <v>263728.44199999998</v>
      </c>
    </row>
    <row r="49" spans="1:7" ht="15" customHeight="1">
      <c r="A49" s="284" t="s">
        <v>29</v>
      </c>
      <c r="B49" s="285"/>
      <c r="D49" s="17" t="s">
        <v>86</v>
      </c>
      <c r="E49" s="147">
        <v>184422.94560000001</v>
      </c>
      <c r="F49" s="147">
        <v>218879.92480000001</v>
      </c>
      <c r="G49" s="155">
        <f t="shared" si="16"/>
        <v>403302.87040000001</v>
      </c>
    </row>
    <row r="50" spans="1:7" ht="15" customHeight="1">
      <c r="A50" s="139">
        <v>2017</v>
      </c>
      <c r="B50" s="140">
        <v>16050</v>
      </c>
      <c r="D50" s="17" t="s">
        <v>87</v>
      </c>
      <c r="E50" s="147">
        <v>240114.48480000001</v>
      </c>
      <c r="F50" s="147">
        <v>245234.62239999999</v>
      </c>
      <c r="G50" s="155">
        <f t="shared" si="16"/>
        <v>485349.10719999997</v>
      </c>
    </row>
    <row r="51" spans="1:7" ht="15" customHeight="1">
      <c r="A51" s="151">
        <v>2018</v>
      </c>
      <c r="B51" s="152">
        <v>17550</v>
      </c>
      <c r="D51" s="17" t="s">
        <v>88</v>
      </c>
      <c r="E51" s="147">
        <v>307594.83840000001</v>
      </c>
      <c r="F51" s="147">
        <v>289271.40639999998</v>
      </c>
      <c r="G51" s="155">
        <f t="shared" si="16"/>
        <v>596866.24479999999</v>
      </c>
    </row>
    <row r="52" spans="1:7" ht="15" customHeight="1">
      <c r="D52" s="17" t="s">
        <v>89</v>
      </c>
      <c r="E52" s="147">
        <v>343369.848</v>
      </c>
      <c r="F52" s="147">
        <v>357936.80320000002</v>
      </c>
      <c r="G52" s="155">
        <f t="shared" si="16"/>
        <v>701306.65119999996</v>
      </c>
    </row>
    <row r="53" spans="1:7" ht="15" customHeight="1">
      <c r="D53" s="17" t="s">
        <v>90</v>
      </c>
      <c r="E53" s="147">
        <v>294802.82400000002</v>
      </c>
      <c r="F53" s="147">
        <v>296439.69280000002</v>
      </c>
      <c r="G53" s="155">
        <f t="shared" si="16"/>
        <v>591242.5168000001</v>
      </c>
    </row>
    <row r="54" spans="1:7" ht="15" customHeight="1">
      <c r="D54" s="17" t="s">
        <v>91</v>
      </c>
      <c r="E54" s="147">
        <v>276616.23360000004</v>
      </c>
      <c r="F54" s="147">
        <v>274808.21919999999</v>
      </c>
      <c r="G54" s="155">
        <f t="shared" si="16"/>
        <v>551424.45280000009</v>
      </c>
    </row>
    <row r="55" spans="1:7" ht="15" customHeight="1">
      <c r="D55" s="17" t="s">
        <v>92</v>
      </c>
      <c r="E55" s="147">
        <v>224961.41279999999</v>
      </c>
      <c r="F55" s="147">
        <v>278233.408</v>
      </c>
      <c r="G55" s="155">
        <f t="shared" si="16"/>
        <v>503194.82079999999</v>
      </c>
    </row>
    <row r="56" spans="1:7" ht="15" customHeight="1">
      <c r="D56" s="17" t="s">
        <v>93</v>
      </c>
      <c r="E56" s="147">
        <v>227837.5344</v>
      </c>
      <c r="F56" s="147">
        <v>179731.15359999999</v>
      </c>
      <c r="G56" s="155">
        <f t="shared" si="16"/>
        <v>407568.68799999997</v>
      </c>
    </row>
    <row r="57" spans="1:7" ht="15" customHeight="1">
      <c r="D57" s="17" t="s">
        <v>94</v>
      </c>
      <c r="E57" s="147">
        <v>136140.03840000002</v>
      </c>
      <c r="F57" s="147">
        <v>146292.016</v>
      </c>
      <c r="G57" s="155">
        <f t="shared" si="16"/>
        <v>282432.05440000002</v>
      </c>
    </row>
    <row r="58" spans="1:7" ht="15" customHeight="1">
      <c r="D58" s="17" t="s">
        <v>95</v>
      </c>
      <c r="E58" s="147">
        <v>129102.16799999999</v>
      </c>
      <c r="F58" s="147">
        <v>85459.71</v>
      </c>
      <c r="G58" s="155">
        <f t="shared" si="16"/>
        <v>214561.878</v>
      </c>
    </row>
    <row r="59" spans="1:7" ht="15" customHeight="1">
      <c r="D59" s="45"/>
      <c r="E59" s="46"/>
      <c r="F59" s="46"/>
      <c r="G59" s="57"/>
    </row>
    <row r="60" spans="1:7" ht="15" customHeight="1">
      <c r="D60" s="136" t="s">
        <v>45</v>
      </c>
      <c r="E60" s="137">
        <f>SUM(E47:E59)</f>
        <v>2539821.4416</v>
      </c>
      <c r="F60" s="137">
        <f>SUM(F47:F59)</f>
        <v>2666446.1503999997</v>
      </c>
      <c r="G60" s="156">
        <f>SUM(G47:G59)</f>
        <v>5206267.5919999992</v>
      </c>
    </row>
  </sheetData>
  <mergeCells count="49">
    <mergeCell ref="D44:G44"/>
    <mergeCell ref="D33:E33"/>
    <mergeCell ref="D34:E34"/>
    <mergeCell ref="D35:E35"/>
    <mergeCell ref="D36:E36"/>
    <mergeCell ref="D37:E37"/>
    <mergeCell ref="D38:E38"/>
    <mergeCell ref="A44:B44"/>
    <mergeCell ref="A49:B49"/>
    <mergeCell ref="B27:C27"/>
    <mergeCell ref="B28:C28"/>
    <mergeCell ref="B29:C29"/>
    <mergeCell ref="B30:C30"/>
    <mergeCell ref="B31:C31"/>
    <mergeCell ref="B32:C32"/>
    <mergeCell ref="B37:C37"/>
    <mergeCell ref="B38:C38"/>
    <mergeCell ref="B39:C39"/>
    <mergeCell ref="B26:C26"/>
    <mergeCell ref="D26:E26"/>
    <mergeCell ref="B41:C41"/>
    <mergeCell ref="D41:E41"/>
    <mergeCell ref="B33:C33"/>
    <mergeCell ref="B34:C34"/>
    <mergeCell ref="B35:C35"/>
    <mergeCell ref="B36:C36"/>
    <mergeCell ref="D39:E39"/>
    <mergeCell ref="D27:E27"/>
    <mergeCell ref="D28:E28"/>
    <mergeCell ref="D29:E29"/>
    <mergeCell ref="D30:E30"/>
    <mergeCell ref="D31:E31"/>
    <mergeCell ref="D32:E32"/>
    <mergeCell ref="B25:C25"/>
    <mergeCell ref="D25:E25"/>
    <mergeCell ref="B24:C24"/>
    <mergeCell ref="D24:E24"/>
    <mergeCell ref="A1:P1"/>
    <mergeCell ref="A3:H3"/>
    <mergeCell ref="I3:L3"/>
    <mergeCell ref="M3:P3"/>
    <mergeCell ref="B4:C4"/>
    <mergeCell ref="D4:F4"/>
    <mergeCell ref="G4:H4"/>
    <mergeCell ref="A21:P21"/>
    <mergeCell ref="B22:G22"/>
    <mergeCell ref="H22:K22"/>
    <mergeCell ref="B23:C23"/>
    <mergeCell ref="D23:E23"/>
  </mergeCells>
  <conditionalFormatting sqref="N42:N43">
    <cfRule type="colorScale" priority="1">
      <colorScale>
        <cfvo type="min"/>
        <cfvo type="max"/>
        <color rgb="FFFCFCFF"/>
        <color rgb="FF63BE7B"/>
      </colorScale>
    </cfRule>
  </conditionalFormatting>
  <conditionalFormatting sqref="N24:N41">
    <cfRule type="colorScale" priority="19">
      <colorScale>
        <cfvo type="min"/>
        <cfvo type="max"/>
        <color rgb="FFFCFCFF"/>
        <color rgb="FF63BE7B"/>
      </colorScale>
    </cfRule>
  </conditionalFormatting>
  <pageMargins left="0.7" right="0.7" top="0.75" bottom="0.75" header="0.3" footer="0.3"/>
  <pageSetup paperSize="3" scale="7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showGridLines="0" topLeftCell="A16" zoomScale="80" zoomScaleNormal="80" workbookViewId="0">
      <selection sqref="A1:H1"/>
    </sheetView>
  </sheetViews>
  <sheetFormatPr defaultRowHeight="15"/>
  <cols>
    <col min="1" max="1" width="14.85546875" bestFit="1" customWidth="1"/>
    <col min="2" max="2" width="11" bestFit="1" customWidth="1"/>
    <col min="3" max="3" width="8.140625" bestFit="1" customWidth="1"/>
    <col min="4" max="4" width="12.28515625" bestFit="1" customWidth="1"/>
    <col min="5" max="6" width="13.5703125" bestFit="1" customWidth="1"/>
    <col min="7" max="7" width="15.85546875" customWidth="1"/>
    <col min="8" max="8" width="13.7109375" bestFit="1" customWidth="1"/>
    <col min="9" max="9" width="13.85546875" bestFit="1" customWidth="1"/>
    <col min="10" max="12" width="13.5703125" bestFit="1" customWidth="1"/>
    <col min="13" max="13" width="14" bestFit="1" customWidth="1"/>
    <col min="14" max="14" width="13.42578125" bestFit="1" customWidth="1"/>
    <col min="15" max="15" width="11.28515625" customWidth="1"/>
    <col min="16" max="16" width="14.85546875" bestFit="1" customWidth="1"/>
    <col min="18" max="18" width="14.42578125" bestFit="1" customWidth="1"/>
    <col min="19" max="19" width="12.7109375" bestFit="1" customWidth="1"/>
    <col min="24" max="25" width="10.85546875" bestFit="1" customWidth="1"/>
    <col min="27" max="27" width="16.140625" bestFit="1" customWidth="1"/>
    <col min="28" max="28" width="22.140625" bestFit="1" customWidth="1"/>
  </cols>
  <sheetData>
    <row r="1" spans="1:28" ht="32.25">
      <c r="A1" s="260" t="s">
        <v>97</v>
      </c>
      <c r="B1" s="261"/>
      <c r="C1" s="261"/>
      <c r="D1" s="261"/>
      <c r="E1" s="261"/>
      <c r="F1" s="261"/>
      <c r="G1" s="261"/>
      <c r="H1" s="261"/>
      <c r="I1" s="261"/>
      <c r="J1" s="261"/>
      <c r="K1" s="261"/>
      <c r="L1" s="261"/>
      <c r="M1" s="261"/>
      <c r="N1" s="261"/>
      <c r="O1" s="261"/>
      <c r="P1" s="262"/>
    </row>
    <row r="2" spans="1:28" ht="24.75" thickBot="1">
      <c r="A2" s="1"/>
      <c r="B2" s="2"/>
      <c r="C2" s="2"/>
      <c r="D2" s="2"/>
      <c r="E2" s="2"/>
      <c r="F2" s="3"/>
      <c r="G2" s="3"/>
      <c r="H2" s="3"/>
      <c r="I2" s="3"/>
      <c r="J2" s="3"/>
      <c r="K2" s="4"/>
      <c r="L2" s="4"/>
    </row>
    <row r="3" spans="1:28" ht="20.25" thickBot="1">
      <c r="A3" s="263" t="s">
        <v>1</v>
      </c>
      <c r="B3" s="264"/>
      <c r="C3" s="264"/>
      <c r="D3" s="264"/>
      <c r="E3" s="264"/>
      <c r="F3" s="264"/>
      <c r="G3" s="264"/>
      <c r="H3" s="264"/>
      <c r="I3" s="265" t="s">
        <v>2</v>
      </c>
      <c r="J3" s="266"/>
      <c r="K3" s="266"/>
      <c r="L3" s="267"/>
      <c r="M3" s="265" t="s">
        <v>3</v>
      </c>
      <c r="N3" s="266"/>
      <c r="O3" s="266"/>
      <c r="P3" s="268"/>
    </row>
    <row r="4" spans="1:28">
      <c r="A4" s="58"/>
      <c r="B4" s="269" t="s">
        <v>4</v>
      </c>
      <c r="C4" s="270"/>
      <c r="D4" s="269" t="s">
        <v>5</v>
      </c>
      <c r="E4" s="271"/>
      <c r="F4" s="270"/>
      <c r="G4" s="271" t="s">
        <v>6</v>
      </c>
      <c r="H4" s="270"/>
      <c r="I4" s="6"/>
      <c r="J4" s="59"/>
      <c r="K4" s="59"/>
      <c r="L4" s="60"/>
      <c r="M4" s="222"/>
      <c r="N4" s="223"/>
      <c r="O4" s="223"/>
      <c r="P4" s="224"/>
    </row>
    <row r="5" spans="1:28">
      <c r="A5" s="8"/>
      <c r="B5" s="9">
        <v>1</v>
      </c>
      <c r="C5" s="10">
        <v>3</v>
      </c>
      <c r="D5" s="9">
        <v>23</v>
      </c>
      <c r="E5" s="11">
        <v>6</v>
      </c>
      <c r="F5" s="12" t="s">
        <v>7</v>
      </c>
      <c r="G5" s="13" t="s">
        <v>4</v>
      </c>
      <c r="H5" s="14" t="s">
        <v>5</v>
      </c>
      <c r="I5" s="8"/>
      <c r="J5" s="13" t="s">
        <v>4</v>
      </c>
      <c r="K5" s="15" t="s">
        <v>5</v>
      </c>
      <c r="L5" s="16" t="s">
        <v>8</v>
      </c>
      <c r="M5" s="8"/>
      <c r="N5" s="13" t="s">
        <v>9</v>
      </c>
      <c r="O5" s="13" t="s">
        <v>10</v>
      </c>
      <c r="P5" s="16" t="s">
        <v>11</v>
      </c>
      <c r="Q5" s="194"/>
      <c r="R5" s="195"/>
      <c r="S5" s="195"/>
      <c r="T5" s="195"/>
      <c r="U5" s="195"/>
      <c r="V5" s="195"/>
      <c r="W5" s="195"/>
    </row>
    <row r="6" spans="1:28">
      <c r="A6" s="17">
        <v>43466</v>
      </c>
      <c r="B6" s="18">
        <v>6828.6850000000004</v>
      </c>
      <c r="C6" s="18">
        <v>51.465000000000003</v>
      </c>
      <c r="D6" s="19">
        <v>831</v>
      </c>
      <c r="E6" s="19">
        <v>1070</v>
      </c>
      <c r="F6" s="19">
        <v>11386</v>
      </c>
      <c r="G6" s="20">
        <f>B6+C6</f>
        <v>6880.1500000000005</v>
      </c>
      <c r="H6" s="159">
        <f>D6+E6+F6</f>
        <v>13287</v>
      </c>
      <c r="I6" s="17">
        <v>43466</v>
      </c>
      <c r="J6" s="22">
        <f>G6*200*0.06525</f>
        <v>89785.957500000004</v>
      </c>
      <c r="K6" s="23">
        <f>H6*0.06225*200</f>
        <v>165423.15000000002</v>
      </c>
      <c r="L6" s="24">
        <f>SUM(J6:K6)</f>
        <v>255209.10750000004</v>
      </c>
      <c r="M6" s="17">
        <v>43466</v>
      </c>
      <c r="N6" s="25">
        <v>1922541</v>
      </c>
      <c r="O6" s="25">
        <v>298342</v>
      </c>
      <c r="P6" s="26">
        <f>SUM(N6:O6)</f>
        <v>2220883</v>
      </c>
      <c r="Q6" s="196"/>
      <c r="R6" s="288"/>
      <c r="S6" s="289"/>
      <c r="T6" s="195"/>
      <c r="U6" s="195"/>
      <c r="V6" s="195"/>
      <c r="W6" s="195"/>
      <c r="X6" s="182"/>
      <c r="Y6" s="182"/>
      <c r="AA6" s="182"/>
      <c r="AB6" s="182"/>
    </row>
    <row r="7" spans="1:28">
      <c r="A7" s="17">
        <v>43497</v>
      </c>
      <c r="B7" s="18">
        <v>6848.69</v>
      </c>
      <c r="C7" s="18">
        <v>54</v>
      </c>
      <c r="D7" s="19">
        <v>975.16499999999996</v>
      </c>
      <c r="E7" s="19">
        <v>904</v>
      </c>
      <c r="F7" s="19">
        <v>11075</v>
      </c>
      <c r="G7" s="20">
        <f t="shared" ref="G7:G10" si="0">B7+C7</f>
        <v>6902.69</v>
      </c>
      <c r="H7" s="159">
        <f t="shared" ref="H7:H10" si="1">D7+E7+F7</f>
        <v>12954.165000000001</v>
      </c>
      <c r="I7" s="17">
        <v>43497</v>
      </c>
      <c r="J7" s="22">
        <f t="shared" ref="J7:J17" si="2">G7*200*0.06525</f>
        <v>90080.104500000001</v>
      </c>
      <c r="K7" s="23">
        <f t="shared" ref="K7:K17" si="3">H7*0.06225*200</f>
        <v>161279.35425</v>
      </c>
      <c r="L7" s="24">
        <f t="shared" ref="L7:L17" si="4">SUM(J7:K7)</f>
        <v>251359.45874999999</v>
      </c>
      <c r="M7" s="17">
        <v>43497</v>
      </c>
      <c r="N7" s="25">
        <v>2215260</v>
      </c>
      <c r="O7" s="25">
        <v>482449</v>
      </c>
      <c r="P7" s="26">
        <f t="shared" ref="P7:P17" si="5">SUM(N7:O7)</f>
        <v>2697709</v>
      </c>
      <c r="Q7" s="196"/>
      <c r="R7" s="195"/>
      <c r="S7" s="195"/>
      <c r="T7" s="195"/>
      <c r="U7" s="195"/>
      <c r="V7" s="195"/>
      <c r="W7" s="195"/>
      <c r="X7" s="182"/>
      <c r="Y7" s="182"/>
      <c r="AA7" s="182"/>
      <c r="AB7" s="182"/>
    </row>
    <row r="8" spans="1:28">
      <c r="A8" s="17">
        <v>43525</v>
      </c>
      <c r="B8" s="18">
        <v>6852.5950000000003</v>
      </c>
      <c r="C8" s="18">
        <v>54</v>
      </c>
      <c r="D8" s="19">
        <v>744.19500000000005</v>
      </c>
      <c r="E8" s="19">
        <v>898</v>
      </c>
      <c r="F8" s="19">
        <v>11229</v>
      </c>
      <c r="G8" s="20">
        <f t="shared" si="0"/>
        <v>6906.5950000000003</v>
      </c>
      <c r="H8" s="159">
        <f t="shared" si="1"/>
        <v>12871.195</v>
      </c>
      <c r="I8" s="17">
        <v>43525</v>
      </c>
      <c r="J8" s="22">
        <f t="shared" si="2"/>
        <v>90131.064750000005</v>
      </c>
      <c r="K8" s="23">
        <f t="shared" si="3"/>
        <v>160246.37774999999</v>
      </c>
      <c r="L8" s="24">
        <f t="shared" si="4"/>
        <v>250377.4425</v>
      </c>
      <c r="M8" s="17">
        <v>43525</v>
      </c>
      <c r="N8" s="25">
        <v>2900294</v>
      </c>
      <c r="O8" s="25">
        <v>638481</v>
      </c>
      <c r="P8" s="26">
        <f t="shared" si="5"/>
        <v>3538775</v>
      </c>
      <c r="Q8" s="196"/>
      <c r="R8" s="195"/>
      <c r="S8" s="195"/>
      <c r="T8" s="195"/>
      <c r="U8" s="195"/>
      <c r="V8" s="195"/>
      <c r="W8" s="195"/>
      <c r="X8" s="182"/>
      <c r="Y8" s="182"/>
      <c r="AA8" s="182"/>
      <c r="AB8" s="182"/>
    </row>
    <row r="9" spans="1:28">
      <c r="A9" s="17">
        <v>43556</v>
      </c>
      <c r="B9" s="18">
        <v>6846.47</v>
      </c>
      <c r="C9" s="18">
        <v>54</v>
      </c>
      <c r="D9" s="19">
        <v>1002</v>
      </c>
      <c r="E9" s="19">
        <v>900.46500000000003</v>
      </c>
      <c r="F9" s="19">
        <v>12621</v>
      </c>
      <c r="G9" s="20">
        <f t="shared" si="0"/>
        <v>6900.47</v>
      </c>
      <c r="H9" s="159">
        <f t="shared" si="1"/>
        <v>14523.465</v>
      </c>
      <c r="I9" s="17">
        <v>43556</v>
      </c>
      <c r="J9" s="22">
        <f t="shared" si="2"/>
        <v>90051.133499999996</v>
      </c>
      <c r="K9" s="23">
        <f t="shared" si="3"/>
        <v>180817.13924999998</v>
      </c>
      <c r="L9" s="24">
        <f t="shared" si="4"/>
        <v>270868.27275</v>
      </c>
      <c r="M9" s="17">
        <v>43556</v>
      </c>
      <c r="N9" s="25">
        <v>3559883</v>
      </c>
      <c r="O9" s="25">
        <v>637724</v>
      </c>
      <c r="P9" s="26">
        <f t="shared" si="5"/>
        <v>4197607</v>
      </c>
      <c r="Q9" s="196"/>
      <c r="R9" s="195"/>
      <c r="S9" s="197"/>
      <c r="T9" s="195"/>
      <c r="U9" s="195"/>
      <c r="V9" s="195"/>
      <c r="W9" s="195"/>
      <c r="X9" s="182"/>
      <c r="Y9" s="182"/>
      <c r="AA9" s="182"/>
      <c r="AB9" s="182"/>
    </row>
    <row r="10" spans="1:28">
      <c r="A10" s="17">
        <v>43586</v>
      </c>
      <c r="B10" s="18">
        <v>6826.415</v>
      </c>
      <c r="C10" s="18">
        <v>54.03</v>
      </c>
      <c r="D10" s="19">
        <v>769</v>
      </c>
      <c r="E10" s="19">
        <v>898</v>
      </c>
      <c r="F10" s="19">
        <v>11237</v>
      </c>
      <c r="G10" s="20">
        <f t="shared" si="0"/>
        <v>6880.4449999999997</v>
      </c>
      <c r="H10" s="159">
        <f t="shared" si="1"/>
        <v>12904</v>
      </c>
      <c r="I10" s="17">
        <v>43586</v>
      </c>
      <c r="J10" s="22">
        <f t="shared" si="2"/>
        <v>89789.807249999998</v>
      </c>
      <c r="K10" s="23">
        <f t="shared" si="3"/>
        <v>160654.79999999999</v>
      </c>
      <c r="L10" s="24">
        <f t="shared" si="4"/>
        <v>250444.60725</v>
      </c>
      <c r="M10" s="17">
        <v>43586</v>
      </c>
      <c r="N10" s="25">
        <v>4175765</v>
      </c>
      <c r="O10" s="25">
        <v>710524</v>
      </c>
      <c r="P10" s="26">
        <f t="shared" si="5"/>
        <v>4886289</v>
      </c>
      <c r="Q10" s="196"/>
      <c r="R10" s="195"/>
      <c r="S10" s="197"/>
      <c r="T10" s="195"/>
      <c r="U10" s="195"/>
      <c r="V10" s="195"/>
      <c r="W10" s="195"/>
      <c r="X10" s="182"/>
      <c r="Y10" s="182"/>
      <c r="AA10" s="182"/>
      <c r="AB10" s="182"/>
    </row>
    <row r="11" spans="1:28">
      <c r="A11" s="17">
        <v>43617</v>
      </c>
      <c r="B11" s="18">
        <v>6809.99</v>
      </c>
      <c r="C11" s="18">
        <v>50</v>
      </c>
      <c r="D11" s="19">
        <v>872</v>
      </c>
      <c r="E11" s="19">
        <v>898</v>
      </c>
      <c r="F11" s="19">
        <v>11489</v>
      </c>
      <c r="G11" s="20">
        <v>6878</v>
      </c>
      <c r="H11" s="159">
        <v>13241</v>
      </c>
      <c r="I11" s="17">
        <v>43617</v>
      </c>
      <c r="J11" s="22">
        <f t="shared" si="2"/>
        <v>89757.900000000009</v>
      </c>
      <c r="K11" s="23">
        <f t="shared" si="3"/>
        <v>164850.45000000001</v>
      </c>
      <c r="L11" s="24">
        <f t="shared" si="4"/>
        <v>254608.35000000003</v>
      </c>
      <c r="M11" s="17">
        <v>43617</v>
      </c>
      <c r="N11" s="25">
        <v>4864161</v>
      </c>
      <c r="O11" s="25">
        <v>806043</v>
      </c>
      <c r="P11" s="26">
        <f t="shared" si="5"/>
        <v>5670204</v>
      </c>
      <c r="Q11" s="196"/>
      <c r="R11" s="198"/>
      <c r="S11" s="195"/>
      <c r="T11" s="195"/>
      <c r="U11" s="195"/>
      <c r="V11" s="195"/>
      <c r="W11" s="195"/>
      <c r="X11" s="182"/>
      <c r="Y11" s="182"/>
      <c r="AA11" s="182"/>
      <c r="AB11" s="182"/>
    </row>
    <row r="12" spans="1:28">
      <c r="A12" s="17">
        <v>43647</v>
      </c>
      <c r="B12" s="18">
        <v>6808.38</v>
      </c>
      <c r="C12" s="18">
        <v>53</v>
      </c>
      <c r="D12" s="19">
        <v>841</v>
      </c>
      <c r="E12" s="19">
        <v>899</v>
      </c>
      <c r="F12" s="19">
        <v>9879.7999999999993</v>
      </c>
      <c r="G12" s="20">
        <f t="shared" ref="G12:G17" si="6">B12+C12</f>
        <v>6861.38</v>
      </c>
      <c r="H12" s="159">
        <f t="shared" ref="H12:H17" si="7">D12+E12+F12</f>
        <v>11619.8</v>
      </c>
      <c r="I12" s="17">
        <v>43647</v>
      </c>
      <c r="J12" s="22">
        <f t="shared" si="2"/>
        <v>89541.009000000005</v>
      </c>
      <c r="K12" s="23">
        <f t="shared" si="3"/>
        <v>144666.50999999998</v>
      </c>
      <c r="L12" s="24">
        <f t="shared" si="4"/>
        <v>234207.51899999997</v>
      </c>
      <c r="M12" s="17">
        <v>43647</v>
      </c>
      <c r="N12" s="25">
        <v>4602261</v>
      </c>
      <c r="O12" s="25">
        <v>1024753</v>
      </c>
      <c r="P12" s="26">
        <f t="shared" si="5"/>
        <v>5627014</v>
      </c>
      <c r="Q12" s="196"/>
      <c r="R12" s="198"/>
      <c r="S12" s="197"/>
      <c r="T12" s="195"/>
      <c r="U12" s="195"/>
      <c r="V12" s="195"/>
      <c r="W12" s="195"/>
      <c r="X12" s="182"/>
      <c r="Y12" s="182"/>
      <c r="AA12" s="182"/>
      <c r="AB12" s="182"/>
    </row>
    <row r="13" spans="1:28">
      <c r="A13" s="17">
        <v>43678</v>
      </c>
      <c r="B13" s="18">
        <v>6807.0249999999996</v>
      </c>
      <c r="C13" s="18">
        <v>50</v>
      </c>
      <c r="D13" s="19">
        <v>830.2</v>
      </c>
      <c r="E13" s="19">
        <v>779</v>
      </c>
      <c r="F13" s="19">
        <v>11658.665000000001</v>
      </c>
      <c r="G13" s="20">
        <f>B13+C13</f>
        <v>6857.0249999999996</v>
      </c>
      <c r="H13" s="159">
        <f>D13+E13+F13</f>
        <v>13267.865000000002</v>
      </c>
      <c r="I13" s="17">
        <v>43678</v>
      </c>
      <c r="J13" s="22">
        <f t="shared" si="2"/>
        <v>89484.176250000004</v>
      </c>
      <c r="K13" s="23">
        <f t="shared" si="3"/>
        <v>165184.91925000004</v>
      </c>
      <c r="L13" s="24">
        <f t="shared" si="4"/>
        <v>254669.09550000005</v>
      </c>
      <c r="M13" s="17">
        <v>43678</v>
      </c>
      <c r="N13" s="25">
        <v>5123317</v>
      </c>
      <c r="O13" s="25">
        <v>792074</v>
      </c>
      <c r="P13" s="26">
        <f t="shared" si="5"/>
        <v>5915391</v>
      </c>
      <c r="Q13" s="196"/>
      <c r="R13" s="195"/>
      <c r="S13" s="195"/>
      <c r="T13" s="195"/>
      <c r="U13" s="195"/>
      <c r="V13" s="195"/>
      <c r="W13" s="195"/>
      <c r="X13" s="182"/>
      <c r="Y13" s="182"/>
      <c r="AA13" s="182"/>
      <c r="AB13" s="182"/>
    </row>
    <row r="14" spans="1:28">
      <c r="A14" s="17">
        <v>43709</v>
      </c>
      <c r="B14" s="18">
        <v>6783.6949999999997</v>
      </c>
      <c r="C14" s="18">
        <v>49</v>
      </c>
      <c r="D14" s="19">
        <v>834</v>
      </c>
      <c r="E14" s="19">
        <v>779</v>
      </c>
      <c r="F14" s="19">
        <v>10671.665000000001</v>
      </c>
      <c r="G14" s="20">
        <f t="shared" si="6"/>
        <v>6832.6949999999997</v>
      </c>
      <c r="H14" s="159">
        <f>D14+E14+F14</f>
        <v>12284.665000000001</v>
      </c>
      <c r="I14" s="17">
        <v>43709</v>
      </c>
      <c r="J14" s="22">
        <f t="shared" si="2"/>
        <v>89166.669750000001</v>
      </c>
      <c r="K14" s="23">
        <f t="shared" si="3"/>
        <v>152944.07925000001</v>
      </c>
      <c r="L14" s="24">
        <f t="shared" si="4"/>
        <v>242110.74900000001</v>
      </c>
      <c r="M14" s="17">
        <v>43709</v>
      </c>
      <c r="N14" s="25">
        <v>3904735</v>
      </c>
      <c r="O14" s="25">
        <v>991117</v>
      </c>
      <c r="P14" s="26">
        <f t="shared" si="5"/>
        <v>4895852</v>
      </c>
      <c r="Q14" s="196"/>
      <c r="R14" s="195"/>
      <c r="S14" s="195"/>
      <c r="T14" s="195"/>
      <c r="U14" s="195"/>
      <c r="V14" s="195"/>
      <c r="W14" s="195"/>
      <c r="X14" s="182"/>
      <c r="Y14" s="182"/>
      <c r="AA14" s="182"/>
      <c r="AB14" s="182"/>
    </row>
    <row r="15" spans="1:28">
      <c r="A15" s="17">
        <v>43739</v>
      </c>
      <c r="B15" s="18">
        <v>6744.4549999999999</v>
      </c>
      <c r="C15" s="18">
        <v>49</v>
      </c>
      <c r="D15" s="19">
        <v>989.2</v>
      </c>
      <c r="E15" s="19">
        <v>779</v>
      </c>
      <c r="F15" s="19">
        <v>11893</v>
      </c>
      <c r="G15" s="20">
        <f t="shared" si="6"/>
        <v>6793.4549999999999</v>
      </c>
      <c r="H15" s="159">
        <f t="shared" si="7"/>
        <v>13661.2</v>
      </c>
      <c r="I15" s="17">
        <v>43739</v>
      </c>
      <c r="J15" s="22">
        <f t="shared" si="2"/>
        <v>88654.587750000006</v>
      </c>
      <c r="K15" s="23">
        <f t="shared" si="3"/>
        <v>170081.94</v>
      </c>
      <c r="L15" s="24">
        <f t="shared" si="4"/>
        <v>258736.52775000001</v>
      </c>
      <c r="M15" s="17">
        <v>43739</v>
      </c>
      <c r="N15" s="25">
        <v>3809982</v>
      </c>
      <c r="O15" s="25">
        <v>531872</v>
      </c>
      <c r="P15" s="26">
        <f t="shared" si="5"/>
        <v>4341854</v>
      </c>
      <c r="Q15" s="196"/>
      <c r="R15" s="195"/>
      <c r="S15" s="195"/>
      <c r="T15" s="195"/>
      <c r="U15" s="195"/>
      <c r="V15" s="195"/>
      <c r="W15" s="195"/>
      <c r="X15" s="182"/>
      <c r="Y15" s="182"/>
      <c r="AA15" s="182"/>
      <c r="AB15" s="182"/>
    </row>
    <row r="16" spans="1:28">
      <c r="A16" s="17">
        <v>43770</v>
      </c>
      <c r="B16" s="18">
        <v>6738.66</v>
      </c>
      <c r="C16" s="18">
        <v>49.4</v>
      </c>
      <c r="D16" s="19">
        <v>766</v>
      </c>
      <c r="E16" s="19">
        <v>105</v>
      </c>
      <c r="F16" s="19">
        <v>11891</v>
      </c>
      <c r="G16" s="20">
        <f t="shared" si="6"/>
        <v>6788.0599999999995</v>
      </c>
      <c r="H16" s="159">
        <f t="shared" si="7"/>
        <v>12762</v>
      </c>
      <c r="I16" s="17">
        <v>43770</v>
      </c>
      <c r="J16" s="22">
        <f t="shared" si="2"/>
        <v>88584.183000000005</v>
      </c>
      <c r="K16" s="23">
        <f t="shared" si="3"/>
        <v>158886.9</v>
      </c>
      <c r="L16" s="24">
        <f t="shared" si="4"/>
        <v>247471.08299999998</v>
      </c>
      <c r="M16" s="17">
        <v>43770</v>
      </c>
      <c r="N16" s="25">
        <v>2171475.9590000003</v>
      </c>
      <c r="O16" s="25">
        <v>384841.21799999999</v>
      </c>
      <c r="P16" s="26">
        <f t="shared" si="5"/>
        <v>2556317.1770000001</v>
      </c>
      <c r="Q16" s="196"/>
      <c r="R16" s="195"/>
      <c r="S16" s="195"/>
      <c r="T16" s="195"/>
      <c r="U16" s="195"/>
      <c r="V16" s="195"/>
      <c r="W16" s="195"/>
      <c r="X16" s="182"/>
      <c r="Y16" s="182"/>
      <c r="AA16" s="182"/>
      <c r="AB16" s="182"/>
    </row>
    <row r="17" spans="1:28">
      <c r="A17" s="17">
        <v>43800</v>
      </c>
      <c r="B17" s="18">
        <v>6459.06</v>
      </c>
      <c r="C17" s="18">
        <v>47.5</v>
      </c>
      <c r="D17" s="19">
        <v>982.33</v>
      </c>
      <c r="E17" s="19">
        <v>1453</v>
      </c>
      <c r="F17" s="19">
        <v>10948</v>
      </c>
      <c r="G17" s="20">
        <f t="shared" si="6"/>
        <v>6506.56</v>
      </c>
      <c r="H17" s="159">
        <f t="shared" si="7"/>
        <v>13383.33</v>
      </c>
      <c r="I17" s="17">
        <v>43800</v>
      </c>
      <c r="J17" s="22">
        <f t="shared" si="2"/>
        <v>84910.608000000007</v>
      </c>
      <c r="K17" s="23">
        <f t="shared" si="3"/>
        <v>166622.45850000001</v>
      </c>
      <c r="L17" s="24">
        <f t="shared" si="4"/>
        <v>251533.06650000002</v>
      </c>
      <c r="M17" s="17">
        <v>43800</v>
      </c>
      <c r="N17" s="25">
        <v>1360637</v>
      </c>
      <c r="O17" s="25">
        <v>224770</v>
      </c>
      <c r="P17" s="26">
        <f t="shared" si="5"/>
        <v>1585407</v>
      </c>
      <c r="Q17" s="196"/>
      <c r="R17" s="195"/>
      <c r="S17" s="195"/>
      <c r="T17" s="195"/>
      <c r="U17" s="195"/>
      <c r="V17" s="195"/>
      <c r="W17" s="195"/>
      <c r="X17" s="182"/>
      <c r="Y17" s="182"/>
      <c r="AA17" s="182"/>
      <c r="AB17" s="182"/>
    </row>
    <row r="18" spans="1:28">
      <c r="A18" s="28" t="s">
        <v>12</v>
      </c>
      <c r="B18" s="29">
        <f>SUM(B6:B17)</f>
        <v>81354.12</v>
      </c>
      <c r="C18" s="29">
        <f t="shared" ref="C18:H18" si="8">SUM(C6:C17)</f>
        <v>615.39499999999998</v>
      </c>
      <c r="D18" s="29">
        <f t="shared" si="8"/>
        <v>10436.09</v>
      </c>
      <c r="E18" s="29">
        <f t="shared" si="8"/>
        <v>10362.465</v>
      </c>
      <c r="F18" s="29">
        <f t="shared" si="8"/>
        <v>135979.13</v>
      </c>
      <c r="G18" s="29">
        <f t="shared" si="8"/>
        <v>81987.524999999994</v>
      </c>
      <c r="H18" s="160">
        <f t="shared" si="8"/>
        <v>156759.68499999997</v>
      </c>
      <c r="I18" s="30"/>
      <c r="J18" s="31"/>
      <c r="K18" s="31"/>
      <c r="L18" s="32"/>
      <c r="M18" s="33"/>
      <c r="N18" s="192"/>
      <c r="O18" s="193"/>
      <c r="P18" s="7"/>
      <c r="Q18" s="195"/>
      <c r="R18" s="195"/>
      <c r="S18" s="195"/>
      <c r="T18" s="195"/>
      <c r="U18" s="195"/>
      <c r="V18" s="195"/>
      <c r="W18" s="195"/>
      <c r="X18" s="182"/>
      <c r="Y18" s="182"/>
      <c r="AA18" s="183"/>
      <c r="AB18" s="182"/>
    </row>
    <row r="19" spans="1:28">
      <c r="A19" s="36" t="s">
        <v>11</v>
      </c>
      <c r="B19" s="37">
        <f>B18*200</f>
        <v>16270824</v>
      </c>
      <c r="C19" s="37">
        <f t="shared" ref="C19:H19" si="9">C18*200</f>
        <v>123079</v>
      </c>
      <c r="D19" s="37">
        <f t="shared" si="9"/>
        <v>2087218</v>
      </c>
      <c r="E19" s="37">
        <f t="shared" si="9"/>
        <v>2072493</v>
      </c>
      <c r="F19" s="37">
        <f t="shared" si="9"/>
        <v>27195826</v>
      </c>
      <c r="G19" s="37">
        <f t="shared" si="9"/>
        <v>16397504.999999998</v>
      </c>
      <c r="H19" s="38">
        <f t="shared" si="9"/>
        <v>31351936.999999993</v>
      </c>
      <c r="I19" s="39" t="s">
        <v>8</v>
      </c>
      <c r="J19" s="40">
        <f>SUM(J6:J18)</f>
        <v>1069937.2012499999</v>
      </c>
      <c r="K19" s="41">
        <f>SUM(K6:K18)</f>
        <v>1951658.0782499998</v>
      </c>
      <c r="L19" s="42">
        <f>SUM(L6:L17)</f>
        <v>3021595.2795000002</v>
      </c>
      <c r="M19" s="103" t="s">
        <v>11</v>
      </c>
      <c r="N19" s="25">
        <f>SUM(N6:N18)</f>
        <v>40610311.958999999</v>
      </c>
      <c r="O19" s="25">
        <f>SUM(O6:O18)</f>
        <v>7522990.2180000003</v>
      </c>
      <c r="P19" s="229">
        <f>SUM(P6:P17)</f>
        <v>48133302.177000001</v>
      </c>
      <c r="Q19" s="195"/>
      <c r="R19" s="197"/>
      <c r="S19" s="195"/>
      <c r="T19" s="195"/>
      <c r="U19" s="195"/>
      <c r="V19" s="195"/>
      <c r="W19" s="195"/>
      <c r="X19" s="182"/>
      <c r="Y19" s="182"/>
    </row>
    <row r="20" spans="1:28" ht="15.75" thickBot="1">
      <c r="A20" s="45"/>
      <c r="B20" s="46"/>
      <c r="C20" s="47"/>
      <c r="D20" s="48"/>
      <c r="E20" s="49"/>
      <c r="F20" s="50"/>
      <c r="G20" s="51" t="s">
        <v>13</v>
      </c>
      <c r="H20" s="52">
        <f>G19+H19</f>
        <v>47749441.999999993</v>
      </c>
      <c r="I20" s="53"/>
      <c r="J20" s="54"/>
      <c r="K20" s="55"/>
      <c r="L20" s="55"/>
      <c r="M20" s="225"/>
      <c r="N20" s="226"/>
      <c r="O20" s="227"/>
      <c r="P20" s="228"/>
      <c r="Q20" s="195"/>
      <c r="R20" s="195"/>
      <c r="S20" s="195"/>
      <c r="T20" s="195"/>
      <c r="U20" s="195"/>
      <c r="V20" s="195"/>
      <c r="W20" s="195"/>
    </row>
    <row r="21" spans="1:28" ht="20.25" thickBot="1">
      <c r="A21" s="250" t="s">
        <v>76</v>
      </c>
      <c r="B21" s="251"/>
      <c r="C21" s="252"/>
      <c r="D21" s="252"/>
      <c r="E21" s="252"/>
      <c r="F21" s="252"/>
      <c r="G21" s="252"/>
      <c r="H21" s="252"/>
      <c r="I21" s="252"/>
      <c r="J21" s="252"/>
      <c r="K21" s="252"/>
      <c r="L21" s="252"/>
      <c r="M21" s="252"/>
      <c r="N21" s="252"/>
      <c r="O21" s="252"/>
      <c r="P21" s="253"/>
      <c r="Q21" s="195"/>
      <c r="R21" s="195"/>
      <c r="S21" s="197"/>
      <c r="T21" s="195"/>
      <c r="U21" s="195"/>
      <c r="V21" s="195"/>
      <c r="W21" s="195"/>
    </row>
    <row r="22" spans="1:28">
      <c r="A22" s="61"/>
      <c r="B22" s="275" t="s">
        <v>14</v>
      </c>
      <c r="C22" s="276"/>
      <c r="D22" s="276"/>
      <c r="E22" s="276"/>
      <c r="F22" s="276"/>
      <c r="G22" s="277"/>
      <c r="H22" s="254" t="s">
        <v>15</v>
      </c>
      <c r="I22" s="255"/>
      <c r="J22" s="255"/>
      <c r="K22" s="256"/>
      <c r="L22" s="61"/>
    </row>
    <row r="23" spans="1:28">
      <c r="A23" s="61"/>
      <c r="B23" s="257" t="s">
        <v>16</v>
      </c>
      <c r="C23" s="258"/>
      <c r="D23" s="258" t="s">
        <v>17</v>
      </c>
      <c r="E23" s="258"/>
      <c r="F23" s="78" t="s">
        <v>18</v>
      </c>
      <c r="G23" s="63" t="s">
        <v>19</v>
      </c>
      <c r="H23" s="64" t="s">
        <v>20</v>
      </c>
      <c r="I23" s="64" t="s">
        <v>21</v>
      </c>
      <c r="J23" s="64" t="s">
        <v>22</v>
      </c>
      <c r="K23" s="65" t="s">
        <v>23</v>
      </c>
      <c r="L23" s="99" t="s">
        <v>24</v>
      </c>
      <c r="M23" s="101" t="s">
        <v>26</v>
      </c>
      <c r="N23" s="161" t="s">
        <v>27</v>
      </c>
    </row>
    <row r="24" spans="1:28">
      <c r="A24" s="66">
        <v>2015</v>
      </c>
      <c r="B24" s="259">
        <v>14403.35</v>
      </c>
      <c r="C24" s="259"/>
      <c r="D24" s="259"/>
      <c r="E24" s="259"/>
      <c r="F24" s="67"/>
      <c r="G24" s="79">
        <f>B24+E24+F24</f>
        <v>14403.35</v>
      </c>
      <c r="H24" s="68"/>
      <c r="I24" s="68">
        <v>7279.47</v>
      </c>
      <c r="J24" s="68"/>
      <c r="K24" s="85">
        <f t="shared" ref="K24" si="10">H24+I24+J24</f>
        <v>7279.47</v>
      </c>
      <c r="L24" s="98">
        <f t="shared" ref="L24" si="11">K24+G24</f>
        <v>21682.82</v>
      </c>
      <c r="M24" s="100">
        <v>48000</v>
      </c>
      <c r="N24" s="162">
        <f>M24-L24</f>
        <v>26317.18</v>
      </c>
    </row>
    <row r="25" spans="1:28">
      <c r="A25" s="66">
        <v>2016</v>
      </c>
      <c r="B25" s="259">
        <v>140859.08000000002</v>
      </c>
      <c r="C25" s="259"/>
      <c r="D25" s="259">
        <v>26043.62</v>
      </c>
      <c r="E25" s="259"/>
      <c r="F25" s="67">
        <v>848972.16</v>
      </c>
      <c r="G25" s="80">
        <v>1015874.86</v>
      </c>
      <c r="H25" s="72">
        <v>103152.92</v>
      </c>
      <c r="I25" s="71">
        <v>0</v>
      </c>
      <c r="J25" s="71">
        <v>138399.5</v>
      </c>
      <c r="K25" s="86">
        <v>241552.42</v>
      </c>
      <c r="L25" s="96">
        <v>1257427.28</v>
      </c>
      <c r="M25" s="97">
        <v>1531000</v>
      </c>
      <c r="N25" s="162">
        <v>273572.71999999997</v>
      </c>
    </row>
    <row r="26" spans="1:28">
      <c r="A26" s="66">
        <v>2017</v>
      </c>
      <c r="B26" s="259">
        <v>70743.100000000006</v>
      </c>
      <c r="C26" s="259"/>
      <c r="D26" s="259">
        <v>13581.08</v>
      </c>
      <c r="E26" s="259"/>
      <c r="F26" s="67">
        <v>4520.1000000000004</v>
      </c>
      <c r="G26" s="80">
        <v>88844.280000000013</v>
      </c>
      <c r="H26" s="72">
        <v>47823.259999999995</v>
      </c>
      <c r="I26" s="71">
        <v>27652.13</v>
      </c>
      <c r="J26" s="71">
        <v>126504.25</v>
      </c>
      <c r="K26" s="86">
        <v>201979.63999999996</v>
      </c>
      <c r="L26" s="96">
        <v>290823.92</v>
      </c>
      <c r="M26" s="97">
        <v>601000</v>
      </c>
      <c r="N26" s="162">
        <v>310176.08</v>
      </c>
    </row>
    <row r="27" spans="1:28">
      <c r="A27" s="66">
        <v>2018</v>
      </c>
      <c r="B27" s="259">
        <v>54852.389999999992</v>
      </c>
      <c r="C27" s="259"/>
      <c r="D27" s="259">
        <v>8808.26</v>
      </c>
      <c r="E27" s="259"/>
      <c r="F27" s="67">
        <v>0</v>
      </c>
      <c r="G27" s="80">
        <v>63660.649999999994</v>
      </c>
      <c r="H27" s="72">
        <v>13278.43</v>
      </c>
      <c r="I27" s="71">
        <v>10643.83</v>
      </c>
      <c r="J27" s="71">
        <v>83403.570000000007</v>
      </c>
      <c r="K27" s="86">
        <v>107325.82999999999</v>
      </c>
      <c r="L27" s="96">
        <v>170986.47999999998</v>
      </c>
      <c r="M27" s="97">
        <v>612000</v>
      </c>
      <c r="N27" s="162">
        <v>441013.52</v>
      </c>
    </row>
    <row r="28" spans="1:28">
      <c r="A28" s="17">
        <v>43466</v>
      </c>
      <c r="B28" s="272">
        <v>1930</v>
      </c>
      <c r="C28" s="272"/>
      <c r="D28" s="290">
        <v>0</v>
      </c>
      <c r="E28" s="290"/>
      <c r="F28" s="188">
        <v>0</v>
      </c>
      <c r="G28" s="145">
        <f t="shared" ref="G28:G39" si="12">B28+D28+F28</f>
        <v>1930</v>
      </c>
      <c r="H28" s="74">
        <v>0</v>
      </c>
      <c r="I28" s="188">
        <v>0</v>
      </c>
      <c r="J28" s="70">
        <v>2040</v>
      </c>
      <c r="K28" s="87">
        <f>H28+I28+J28</f>
        <v>2040</v>
      </c>
      <c r="L28" s="82">
        <f>K28+G28</f>
        <v>3970</v>
      </c>
      <c r="M28" s="95">
        <v>16580</v>
      </c>
      <c r="N28" s="95">
        <f>M28-L28</f>
        <v>12610</v>
      </c>
    </row>
    <row r="29" spans="1:28">
      <c r="A29" s="17">
        <v>43497</v>
      </c>
      <c r="B29" s="272">
        <v>3985.12</v>
      </c>
      <c r="C29" s="272"/>
      <c r="D29" s="272">
        <v>0</v>
      </c>
      <c r="E29" s="272"/>
      <c r="F29" s="188">
        <v>0</v>
      </c>
      <c r="G29" s="145">
        <f t="shared" si="12"/>
        <v>3985.12</v>
      </c>
      <c r="H29" s="74">
        <v>0</v>
      </c>
      <c r="I29" s="188">
        <v>0</v>
      </c>
      <c r="J29" s="70">
        <v>0</v>
      </c>
      <c r="K29" s="87">
        <f>H29+I29+J29</f>
        <v>0</v>
      </c>
      <c r="L29" s="82">
        <f t="shared" ref="L29:L40" si="13">K29+G29</f>
        <v>3985.12</v>
      </c>
      <c r="M29" s="95">
        <v>16580</v>
      </c>
      <c r="N29" s="95">
        <f t="shared" ref="N29:N40" si="14">M29-L29</f>
        <v>12594.880000000001</v>
      </c>
    </row>
    <row r="30" spans="1:28">
      <c r="A30" s="17">
        <v>43525</v>
      </c>
      <c r="B30" s="272">
        <v>3799.53</v>
      </c>
      <c r="C30" s="272"/>
      <c r="D30" s="272">
        <v>0</v>
      </c>
      <c r="E30" s="272"/>
      <c r="F30" s="188">
        <v>0</v>
      </c>
      <c r="G30" s="145">
        <f t="shared" si="12"/>
        <v>3799.53</v>
      </c>
      <c r="H30" s="74">
        <v>9477.06</v>
      </c>
      <c r="I30" s="188">
        <v>0</v>
      </c>
      <c r="J30" s="70">
        <v>0</v>
      </c>
      <c r="K30" s="87">
        <f>H30+I30+J30</f>
        <v>9477.06</v>
      </c>
      <c r="L30" s="82">
        <f t="shared" si="13"/>
        <v>13276.59</v>
      </c>
      <c r="M30" s="95">
        <v>16580</v>
      </c>
      <c r="N30" s="95">
        <f t="shared" si="14"/>
        <v>3303.41</v>
      </c>
    </row>
    <row r="31" spans="1:28">
      <c r="A31" s="17">
        <v>43556</v>
      </c>
      <c r="B31" s="272">
        <v>2076</v>
      </c>
      <c r="C31" s="272"/>
      <c r="D31" s="272">
        <v>3126.63</v>
      </c>
      <c r="E31" s="272"/>
      <c r="F31" s="188">
        <v>0</v>
      </c>
      <c r="G31" s="145">
        <f t="shared" si="12"/>
        <v>5202.63</v>
      </c>
      <c r="H31" s="74">
        <v>523.04</v>
      </c>
      <c r="I31" s="188">
        <v>0</v>
      </c>
      <c r="J31" s="70">
        <v>0</v>
      </c>
      <c r="K31" s="87">
        <f>H31+I31+J31</f>
        <v>523.04</v>
      </c>
      <c r="L31" s="82">
        <f t="shared" si="13"/>
        <v>5725.67</v>
      </c>
      <c r="M31" s="95">
        <v>16580</v>
      </c>
      <c r="N31" s="95">
        <f t="shared" si="14"/>
        <v>10854.33</v>
      </c>
    </row>
    <row r="32" spans="1:28">
      <c r="A32" s="17">
        <v>43586</v>
      </c>
      <c r="B32" s="272">
        <v>6061.98</v>
      </c>
      <c r="C32" s="272"/>
      <c r="D32" s="272">
        <v>867.86</v>
      </c>
      <c r="E32" s="272"/>
      <c r="F32" s="188">
        <v>0</v>
      </c>
      <c r="G32" s="145">
        <f t="shared" si="12"/>
        <v>6929.8399999999992</v>
      </c>
      <c r="H32" s="74">
        <v>0</v>
      </c>
      <c r="I32" s="188">
        <v>0</v>
      </c>
      <c r="J32" s="70">
        <v>5120</v>
      </c>
      <c r="K32" s="87">
        <f>H32+I32+J32</f>
        <v>5120</v>
      </c>
      <c r="L32" s="82">
        <f t="shared" si="13"/>
        <v>12049.84</v>
      </c>
      <c r="M32" s="95">
        <v>16580</v>
      </c>
      <c r="N32" s="95">
        <f t="shared" si="14"/>
        <v>4530.16</v>
      </c>
    </row>
    <row r="33" spans="1:14">
      <c r="A33" s="17">
        <v>43617</v>
      </c>
      <c r="B33" s="272">
        <v>3191</v>
      </c>
      <c r="C33" s="272"/>
      <c r="D33" s="272">
        <v>24.03</v>
      </c>
      <c r="E33" s="272"/>
      <c r="F33" s="188">
        <v>0</v>
      </c>
      <c r="G33" s="145">
        <f t="shared" si="12"/>
        <v>3215.03</v>
      </c>
      <c r="H33" s="74">
        <v>10056.94</v>
      </c>
      <c r="I33" s="188">
        <v>0</v>
      </c>
      <c r="J33" s="70">
        <v>27522.68</v>
      </c>
      <c r="K33" s="87">
        <f t="shared" ref="K33:K39" si="15">H33+I33+J33</f>
        <v>37579.620000000003</v>
      </c>
      <c r="L33" s="82">
        <f t="shared" si="13"/>
        <v>40794.65</v>
      </c>
      <c r="M33" s="95">
        <v>16580</v>
      </c>
      <c r="N33" s="95">
        <f t="shared" si="14"/>
        <v>-24214.65</v>
      </c>
    </row>
    <row r="34" spans="1:14">
      <c r="A34" s="17">
        <v>43647</v>
      </c>
      <c r="B34" s="272">
        <v>5423.72</v>
      </c>
      <c r="C34" s="272"/>
      <c r="D34" s="272">
        <v>0</v>
      </c>
      <c r="E34" s="272"/>
      <c r="F34" s="188">
        <v>0</v>
      </c>
      <c r="G34" s="145">
        <f t="shared" si="12"/>
        <v>5423.72</v>
      </c>
      <c r="H34" s="74">
        <v>0</v>
      </c>
      <c r="I34" s="188">
        <v>0</v>
      </c>
      <c r="J34" s="70">
        <v>1040</v>
      </c>
      <c r="K34" s="87">
        <f t="shared" si="15"/>
        <v>1040</v>
      </c>
      <c r="L34" s="82">
        <f t="shared" si="13"/>
        <v>6463.72</v>
      </c>
      <c r="M34" s="95">
        <v>16580</v>
      </c>
      <c r="N34" s="95">
        <f t="shared" si="14"/>
        <v>10116.279999999999</v>
      </c>
    </row>
    <row r="35" spans="1:14">
      <c r="A35" s="17">
        <v>43678</v>
      </c>
      <c r="B35" s="272">
        <v>3498.19</v>
      </c>
      <c r="C35" s="272"/>
      <c r="D35" s="272">
        <v>0</v>
      </c>
      <c r="E35" s="272"/>
      <c r="F35" s="188">
        <v>0</v>
      </c>
      <c r="G35" s="145">
        <f t="shared" si="12"/>
        <v>3498.19</v>
      </c>
      <c r="H35" s="74">
        <v>0</v>
      </c>
      <c r="I35" s="188">
        <v>0</v>
      </c>
      <c r="J35" s="70">
        <v>0</v>
      </c>
      <c r="K35" s="87">
        <f t="shared" si="15"/>
        <v>0</v>
      </c>
      <c r="L35" s="82">
        <f t="shared" si="13"/>
        <v>3498.19</v>
      </c>
      <c r="M35" s="95">
        <v>16580</v>
      </c>
      <c r="N35" s="95">
        <f t="shared" si="14"/>
        <v>13081.81</v>
      </c>
    </row>
    <row r="36" spans="1:14">
      <c r="A36" s="17">
        <v>43709</v>
      </c>
      <c r="B36" s="272">
        <v>4018.21</v>
      </c>
      <c r="C36" s="272"/>
      <c r="D36" s="272">
        <v>0</v>
      </c>
      <c r="E36" s="272"/>
      <c r="F36" s="188">
        <v>0</v>
      </c>
      <c r="G36" s="145">
        <f t="shared" si="12"/>
        <v>4018.21</v>
      </c>
      <c r="H36" s="74">
        <v>0</v>
      </c>
      <c r="I36" s="188">
        <v>0</v>
      </c>
      <c r="J36" s="70">
        <v>2080</v>
      </c>
      <c r="K36" s="87">
        <f t="shared" si="15"/>
        <v>2080</v>
      </c>
      <c r="L36" s="82">
        <f t="shared" si="13"/>
        <v>6098.21</v>
      </c>
      <c r="M36" s="95">
        <v>16580</v>
      </c>
      <c r="N36" s="95">
        <f t="shared" si="14"/>
        <v>10481.790000000001</v>
      </c>
    </row>
    <row r="37" spans="1:14">
      <c r="A37" s="17">
        <v>43739</v>
      </c>
      <c r="B37" s="272">
        <v>1464</v>
      </c>
      <c r="C37" s="272"/>
      <c r="D37" s="272">
        <v>0</v>
      </c>
      <c r="E37" s="272"/>
      <c r="F37" s="188">
        <v>0</v>
      </c>
      <c r="G37" s="145">
        <f t="shared" si="12"/>
        <v>1464</v>
      </c>
      <c r="H37" s="74">
        <v>0</v>
      </c>
      <c r="I37" s="188">
        <v>0</v>
      </c>
      <c r="J37" s="70">
        <v>1040</v>
      </c>
      <c r="K37" s="87">
        <f t="shared" si="15"/>
        <v>1040</v>
      </c>
      <c r="L37" s="82">
        <f t="shared" si="13"/>
        <v>2504</v>
      </c>
      <c r="M37" s="95">
        <v>16580</v>
      </c>
      <c r="N37" s="95">
        <f t="shared" si="14"/>
        <v>14076</v>
      </c>
    </row>
    <row r="38" spans="1:14">
      <c r="A38" s="17">
        <v>43770</v>
      </c>
      <c r="B38" s="272">
        <v>10036</v>
      </c>
      <c r="C38" s="272"/>
      <c r="D38" s="272">
        <v>0</v>
      </c>
      <c r="E38" s="272"/>
      <c r="F38" s="188">
        <v>0</v>
      </c>
      <c r="G38" s="145">
        <f t="shared" si="12"/>
        <v>10036</v>
      </c>
      <c r="H38" s="74">
        <v>0</v>
      </c>
      <c r="I38" s="188">
        <v>0</v>
      </c>
      <c r="J38" s="70">
        <v>1040</v>
      </c>
      <c r="K38" s="87">
        <f t="shared" si="15"/>
        <v>1040</v>
      </c>
      <c r="L38" s="82">
        <f t="shared" si="13"/>
        <v>11076</v>
      </c>
      <c r="M38" s="95">
        <v>16580</v>
      </c>
      <c r="N38" s="95">
        <f t="shared" si="14"/>
        <v>5504</v>
      </c>
    </row>
    <row r="39" spans="1:14">
      <c r="A39" s="17">
        <v>43800</v>
      </c>
      <c r="B39" s="272">
        <v>4542.46</v>
      </c>
      <c r="C39" s="272"/>
      <c r="D39" s="272">
        <v>3731.52</v>
      </c>
      <c r="E39" s="272"/>
      <c r="F39" s="188">
        <v>7880</v>
      </c>
      <c r="G39" s="146">
        <f t="shared" si="12"/>
        <v>16153.98</v>
      </c>
      <c r="H39" s="74">
        <v>0</v>
      </c>
      <c r="I39" s="70">
        <v>0</v>
      </c>
      <c r="J39" s="70">
        <v>1040</v>
      </c>
      <c r="K39" s="87">
        <f t="shared" si="15"/>
        <v>1040</v>
      </c>
      <c r="L39" s="82">
        <f t="shared" si="13"/>
        <v>17193.98</v>
      </c>
      <c r="M39" s="95">
        <v>16580</v>
      </c>
      <c r="N39" s="95">
        <f t="shared" si="14"/>
        <v>-613.97999999999956</v>
      </c>
    </row>
    <row r="40" spans="1:14">
      <c r="A40" s="66">
        <v>2019</v>
      </c>
      <c r="B40" s="259">
        <f>SUM(B28:B39)</f>
        <v>50026.21</v>
      </c>
      <c r="C40" s="259"/>
      <c r="D40" s="259">
        <f>SUM(D28:D39)</f>
        <v>7750.0400000000009</v>
      </c>
      <c r="E40" s="259"/>
      <c r="F40" s="67">
        <f t="shared" ref="F40:K40" si="16">SUM(F28:F39)</f>
        <v>7880</v>
      </c>
      <c r="G40" s="80">
        <f t="shared" si="16"/>
        <v>65656.25</v>
      </c>
      <c r="H40" s="72">
        <f t="shared" si="16"/>
        <v>20057.04</v>
      </c>
      <c r="I40" s="71">
        <f t="shared" si="16"/>
        <v>0</v>
      </c>
      <c r="J40" s="71">
        <f t="shared" si="16"/>
        <v>40922.68</v>
      </c>
      <c r="K40" s="86">
        <f t="shared" si="16"/>
        <v>60979.72</v>
      </c>
      <c r="L40" s="189">
        <f t="shared" si="13"/>
        <v>126635.97</v>
      </c>
      <c r="M40" s="190">
        <f>SUM(M28:M39)</f>
        <v>198960</v>
      </c>
      <c r="N40" s="84">
        <f t="shared" si="14"/>
        <v>72324.03</v>
      </c>
    </row>
    <row r="41" spans="1:14">
      <c r="A41" s="235"/>
      <c r="B41" s="232"/>
      <c r="C41" s="231"/>
      <c r="D41" s="231"/>
      <c r="E41" s="231"/>
      <c r="F41" s="232"/>
      <c r="G41" s="232"/>
      <c r="H41" s="232"/>
      <c r="I41" s="232"/>
      <c r="J41" s="232"/>
      <c r="K41" s="230"/>
      <c r="L41" s="232"/>
      <c r="M41" s="232"/>
      <c r="N41" s="232"/>
    </row>
    <row r="42" spans="1:14">
      <c r="A42" s="233" t="s">
        <v>25</v>
      </c>
      <c r="B42" s="283">
        <f>B24+B25+B26+B27+B40</f>
        <v>330884.13000000006</v>
      </c>
      <c r="C42" s="283"/>
      <c r="D42" s="283">
        <f>D24+D25+D26+D27+D40</f>
        <v>56183</v>
      </c>
      <c r="E42" s="283"/>
      <c r="F42" s="234">
        <f>F26+F25+F24+F27+F40</f>
        <v>861372.26</v>
      </c>
      <c r="G42" s="91">
        <f>G24+G25+G26+G27+G40</f>
        <v>1248439.3899999999</v>
      </c>
      <c r="H42" s="234">
        <f>H26+H25+H24+H27+H40</f>
        <v>184311.65</v>
      </c>
      <c r="I42" s="234">
        <f>I26+I25+I24+I27+I40</f>
        <v>45575.43</v>
      </c>
      <c r="J42" s="234">
        <f>J26+J25+J24+J27+J40</f>
        <v>389230</v>
      </c>
      <c r="K42" s="234">
        <f>K26+K25+K24+K27+K40</f>
        <v>619117.07999999984</v>
      </c>
      <c r="L42" s="89">
        <f>L24+L25+L26+L27+L40</f>
        <v>1867556.47</v>
      </c>
      <c r="M42" s="95">
        <f>M26+M25+M24+M27+M40</f>
        <v>2990960</v>
      </c>
      <c r="N42" s="95">
        <f>N26+N25+N24+N27+N40</f>
        <v>1123403.53</v>
      </c>
    </row>
    <row r="43" spans="1:14">
      <c r="M43" s="163" t="s">
        <v>50</v>
      </c>
      <c r="N43" s="95">
        <f>N42-B46-B47-B48-B49-B50+B52+B53+B54</f>
        <v>939244.09000000008</v>
      </c>
    </row>
    <row r="44" spans="1:14">
      <c r="M44" s="163"/>
      <c r="N44" s="203"/>
    </row>
    <row r="45" spans="1:14" ht="15" customHeight="1">
      <c r="A45" s="278" t="s">
        <v>28</v>
      </c>
      <c r="B45" s="279"/>
      <c r="D45" s="286" t="s">
        <v>40</v>
      </c>
      <c r="E45" s="287"/>
      <c r="F45" s="287"/>
      <c r="G45" s="287"/>
    </row>
    <row r="46" spans="1:14" ht="15" customHeight="1">
      <c r="A46" s="103">
        <v>2015</v>
      </c>
      <c r="B46" s="73">
        <v>40.200000000000003</v>
      </c>
      <c r="D46" s="148"/>
      <c r="E46" s="149"/>
      <c r="F46" s="149"/>
      <c r="G46" s="149"/>
      <c r="H46" s="150"/>
      <c r="M46" s="191"/>
    </row>
    <row r="47" spans="1:14" ht="15" customHeight="1">
      <c r="A47" s="138">
        <v>2016</v>
      </c>
      <c r="B47" s="69">
        <v>32832.730000000003</v>
      </c>
      <c r="D47" s="45"/>
      <c r="E47" s="135">
        <v>2017</v>
      </c>
      <c r="F47" s="135">
        <v>2018</v>
      </c>
      <c r="G47" s="135">
        <v>2019</v>
      </c>
      <c r="H47" s="154" t="s">
        <v>48</v>
      </c>
    </row>
    <row r="48" spans="1:14" ht="15" customHeight="1">
      <c r="A48" s="138">
        <v>2017</v>
      </c>
      <c r="B48" s="69">
        <v>58533.86</v>
      </c>
      <c r="D48" s="17" t="s">
        <v>84</v>
      </c>
      <c r="E48" s="147">
        <v>71641.881599999993</v>
      </c>
      <c r="F48" s="147">
        <v>133647.984</v>
      </c>
      <c r="G48" s="147">
        <v>117227.62239999999</v>
      </c>
      <c r="H48" s="155">
        <f>E48+F48+G48</f>
        <v>322517.48800000001</v>
      </c>
    </row>
    <row r="49" spans="1:8" ht="15" customHeight="1">
      <c r="A49" s="138">
        <v>2018</v>
      </c>
      <c r="B49" s="69">
        <v>66021.39</v>
      </c>
      <c r="D49" s="17" t="s">
        <v>85</v>
      </c>
      <c r="E49" s="147">
        <v>103217.232</v>
      </c>
      <c r="F49" s="147">
        <v>160511.21</v>
      </c>
      <c r="G49" s="147">
        <v>142404.03520000001</v>
      </c>
      <c r="H49" s="155">
        <f t="shared" ref="H49:H59" si="17">E49+F49+G49</f>
        <v>406132.47719999996</v>
      </c>
    </row>
    <row r="50" spans="1:8" ht="15" customHeight="1">
      <c r="A50" s="138">
        <v>2019</v>
      </c>
      <c r="B50" s="69">
        <v>72631.259999999995</v>
      </c>
      <c r="D50" s="17" t="s">
        <v>86</v>
      </c>
      <c r="E50" s="147">
        <v>184422.94560000001</v>
      </c>
      <c r="F50" s="147">
        <v>218879.92480000001</v>
      </c>
      <c r="G50" s="147">
        <v>186812.32</v>
      </c>
      <c r="H50" s="155">
        <f t="shared" si="17"/>
        <v>590115.19039999996</v>
      </c>
    </row>
    <row r="51" spans="1:8" ht="15" customHeight="1">
      <c r="A51" s="284" t="s">
        <v>29</v>
      </c>
      <c r="B51" s="285"/>
      <c r="D51" s="17" t="s">
        <v>87</v>
      </c>
      <c r="E51" s="147">
        <v>240114.48480000001</v>
      </c>
      <c r="F51" s="147">
        <v>245234.62239999999</v>
      </c>
      <c r="G51" s="147">
        <v>221598.6496</v>
      </c>
      <c r="H51" s="155">
        <f t="shared" si="17"/>
        <v>706947.75679999997</v>
      </c>
    </row>
    <row r="52" spans="1:8" ht="15" customHeight="1">
      <c r="A52" s="199">
        <v>2017</v>
      </c>
      <c r="B52" s="200">
        <v>16050</v>
      </c>
      <c r="D52" s="17" t="s">
        <v>88</v>
      </c>
      <c r="E52" s="147">
        <v>307594.83840000001</v>
      </c>
      <c r="F52" s="147">
        <v>289271.40639999998</v>
      </c>
      <c r="G52" s="147">
        <v>257961.05919999999</v>
      </c>
      <c r="H52" s="155">
        <f t="shared" si="17"/>
        <v>854827.304</v>
      </c>
    </row>
    <row r="53" spans="1:8" ht="15" customHeight="1">
      <c r="A53" s="201">
        <v>2018</v>
      </c>
      <c r="B53" s="202">
        <v>17550</v>
      </c>
      <c r="D53" s="17" t="s">
        <v>89</v>
      </c>
      <c r="E53" s="147">
        <v>343369.848</v>
      </c>
      <c r="F53" s="147">
        <v>357936.80320000002</v>
      </c>
      <c r="G53" s="147">
        <v>299351.77119999996</v>
      </c>
      <c r="H53" s="155">
        <f t="shared" si="17"/>
        <v>1000658.4223999999</v>
      </c>
    </row>
    <row r="54" spans="1:8" ht="15" customHeight="1">
      <c r="A54" s="139">
        <v>2019</v>
      </c>
      <c r="B54" s="140">
        <v>12300</v>
      </c>
      <c r="D54" s="17" t="s">
        <v>90</v>
      </c>
      <c r="E54" s="147">
        <v>294802.82400000002</v>
      </c>
      <c r="F54" s="147">
        <v>296439.69280000002</v>
      </c>
      <c r="G54" s="147">
        <v>297071.33919999999</v>
      </c>
      <c r="H54" s="155">
        <f t="shared" si="17"/>
        <v>888313.85600000015</v>
      </c>
    </row>
    <row r="55" spans="1:8" ht="15" customHeight="1">
      <c r="D55" s="17" t="s">
        <v>91</v>
      </c>
      <c r="E55" s="147">
        <v>276616.23360000004</v>
      </c>
      <c r="F55" s="147">
        <v>274808.21919999999</v>
      </c>
      <c r="G55" s="147">
        <v>312297.64480000001</v>
      </c>
      <c r="H55" s="155">
        <f t="shared" si="17"/>
        <v>863722.0976000001</v>
      </c>
    </row>
    <row r="56" spans="1:8" ht="15" customHeight="1">
      <c r="D56" s="17" t="s">
        <v>92</v>
      </c>
      <c r="E56" s="147">
        <v>224961.41279999999</v>
      </c>
      <c r="F56" s="147">
        <v>278233.408</v>
      </c>
      <c r="G56" s="147">
        <v>258465.98560000001</v>
      </c>
      <c r="H56" s="155">
        <f t="shared" si="17"/>
        <v>761660.8064</v>
      </c>
    </row>
    <row r="57" spans="1:8" ht="15" customHeight="1">
      <c r="D57" s="17" t="s">
        <v>93</v>
      </c>
      <c r="E57" s="147">
        <v>227837.5344</v>
      </c>
      <c r="F57" s="147">
        <v>179731.15359999999</v>
      </c>
      <c r="G57" s="147">
        <v>229214.89120000001</v>
      </c>
      <c r="H57" s="155">
        <f t="shared" si="17"/>
        <v>636783.57920000004</v>
      </c>
    </row>
    <row r="58" spans="1:8" ht="15" customHeight="1">
      <c r="D58" s="17" t="s">
        <v>94</v>
      </c>
      <c r="E58" s="147">
        <v>136140.03840000002</v>
      </c>
      <c r="F58" s="147">
        <v>146292.016</v>
      </c>
      <c r="G58" s="147">
        <v>134938.54694560001</v>
      </c>
      <c r="H58" s="155">
        <f t="shared" si="17"/>
        <v>417370.60134560004</v>
      </c>
    </row>
    <row r="59" spans="1:8" ht="15" customHeight="1">
      <c r="D59" s="17" t="s">
        <v>95</v>
      </c>
      <c r="E59" s="147">
        <v>129102.16799999999</v>
      </c>
      <c r="F59" s="147">
        <v>85459.71</v>
      </c>
      <c r="G59" s="147">
        <v>83674.489600000001</v>
      </c>
      <c r="H59" s="155">
        <f t="shared" si="17"/>
        <v>298236.3676</v>
      </c>
    </row>
    <row r="60" spans="1:8" ht="15" customHeight="1">
      <c r="D60" s="45"/>
      <c r="E60" s="46"/>
      <c r="F60" s="46"/>
      <c r="G60" s="46"/>
      <c r="H60" s="57"/>
    </row>
    <row r="61" spans="1:8" ht="15" customHeight="1">
      <c r="D61" s="136" t="s">
        <v>45</v>
      </c>
      <c r="E61" s="137">
        <f>SUM(E48:E60)</f>
        <v>2539821.4416</v>
      </c>
      <c r="F61" s="137">
        <f>SUM(F48:F60)</f>
        <v>2666446.1503999997</v>
      </c>
      <c r="G61" s="137">
        <f>SUM(G48:G60)</f>
        <v>2541018.3549456</v>
      </c>
      <c r="H61" s="156">
        <f>SUM(H48:H60)</f>
        <v>7747285.9469456002</v>
      </c>
    </row>
  </sheetData>
  <mergeCells count="52">
    <mergeCell ref="B24:C24"/>
    <mergeCell ref="D24:E24"/>
    <mergeCell ref="A1:P1"/>
    <mergeCell ref="A3:H3"/>
    <mergeCell ref="I3:L3"/>
    <mergeCell ref="M3:P3"/>
    <mergeCell ref="B4:C4"/>
    <mergeCell ref="D4:F4"/>
    <mergeCell ref="G4:H4"/>
    <mergeCell ref="A21:P21"/>
    <mergeCell ref="B22:G22"/>
    <mergeCell ref="H22:K22"/>
    <mergeCell ref="B23:C23"/>
    <mergeCell ref="D23:E23"/>
    <mergeCell ref="D39:E39"/>
    <mergeCell ref="B40:C40"/>
    <mergeCell ref="B36:C36"/>
    <mergeCell ref="D36:E36"/>
    <mergeCell ref="B37:C37"/>
    <mergeCell ref="D37:E37"/>
    <mergeCell ref="A51:B51"/>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R6:S6"/>
    <mergeCell ref="B42:C42"/>
    <mergeCell ref="D42:E42"/>
    <mergeCell ref="A45:B45"/>
    <mergeCell ref="D45:G45"/>
    <mergeCell ref="B38:C38"/>
    <mergeCell ref="B25:C25"/>
    <mergeCell ref="D25:E25"/>
    <mergeCell ref="D34:E34"/>
    <mergeCell ref="D40:E40"/>
    <mergeCell ref="B35:C35"/>
    <mergeCell ref="D35:E35"/>
    <mergeCell ref="B26:C26"/>
    <mergeCell ref="D26:E26"/>
    <mergeCell ref="D38:E38"/>
    <mergeCell ref="B39:C39"/>
  </mergeCells>
  <conditionalFormatting sqref="N43:N44">
    <cfRule type="colorScale" priority="1">
      <colorScale>
        <cfvo type="min"/>
        <cfvo type="max"/>
        <color rgb="FFFCFCFF"/>
        <color rgb="FF63BE7B"/>
      </colorScale>
    </cfRule>
  </conditionalFormatting>
  <conditionalFormatting sqref="N24:N40 N42">
    <cfRule type="colorScale" priority="17">
      <colorScale>
        <cfvo type="min"/>
        <cfvo type="max"/>
        <color rgb="FFFCFCFF"/>
        <color rgb="FF63BE7B"/>
      </colorScale>
    </cfRule>
  </conditionalFormatting>
  <pageMargins left="0.7" right="0.7" top="0.75" bottom="0.75" header="0.3" footer="0.3"/>
  <pageSetup paperSize="3" scale="7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sqref="A1:H1"/>
    </sheetView>
  </sheetViews>
  <sheetFormatPr defaultRowHeight="15"/>
  <cols>
    <col min="1" max="1" width="101.5703125" customWidth="1"/>
    <col min="2" max="2" width="7.28515625" bestFit="1" customWidth="1"/>
    <col min="3" max="3" width="6.7109375" bestFit="1" customWidth="1"/>
    <col min="5" max="5" width="31.28515625" bestFit="1" customWidth="1"/>
    <col min="6" max="6" width="12.5703125" bestFit="1" customWidth="1"/>
    <col min="7" max="7" width="16.7109375" bestFit="1" customWidth="1"/>
  </cols>
  <sheetData>
    <row r="1" spans="1:7" ht="32.25">
      <c r="A1" s="260" t="s">
        <v>53</v>
      </c>
      <c r="B1" s="261"/>
      <c r="C1" s="261"/>
      <c r="D1" s="261"/>
      <c r="E1" s="261"/>
      <c r="F1" s="261"/>
      <c r="G1" s="176" t="s">
        <v>75</v>
      </c>
    </row>
    <row r="3" spans="1:7">
      <c r="A3" s="166" t="s">
        <v>54</v>
      </c>
      <c r="B3" s="166" t="s">
        <v>55</v>
      </c>
    </row>
    <row r="4" spans="1:7">
      <c r="A4" t="s">
        <v>56</v>
      </c>
      <c r="B4" s="62">
        <v>16</v>
      </c>
    </row>
    <row r="5" spans="1:7">
      <c r="A5" s="167" t="s">
        <v>57</v>
      </c>
      <c r="B5" s="168">
        <v>6</v>
      </c>
    </row>
    <row r="6" spans="1:7">
      <c r="A6" t="s">
        <v>58</v>
      </c>
      <c r="B6" s="62">
        <f>B4*B5</f>
        <v>96</v>
      </c>
    </row>
    <row r="8" spans="1:7">
      <c r="A8" t="s">
        <v>59</v>
      </c>
      <c r="B8" s="62">
        <v>8</v>
      </c>
    </row>
    <row r="9" spans="1:7">
      <c r="A9" s="167" t="s">
        <v>60</v>
      </c>
      <c r="B9" s="168">
        <v>6</v>
      </c>
    </row>
    <row r="10" spans="1:7">
      <c r="A10" t="s">
        <v>58</v>
      </c>
      <c r="B10" s="62">
        <f>B8*B9</f>
        <v>48</v>
      </c>
    </row>
    <row r="11" spans="1:7">
      <c r="A11" s="167" t="s">
        <v>61</v>
      </c>
      <c r="B11" s="168">
        <v>24</v>
      </c>
    </row>
    <row r="12" spans="1:7">
      <c r="A12" t="s">
        <v>58</v>
      </c>
      <c r="B12" s="62">
        <f>B10+B11</f>
        <v>72</v>
      </c>
    </row>
    <row r="13" spans="1:7">
      <c r="B13" s="62"/>
    </row>
    <row r="14" spans="1:7">
      <c r="A14" t="s">
        <v>62</v>
      </c>
      <c r="B14" s="62">
        <f>B6+B12</f>
        <v>168</v>
      </c>
    </row>
    <row r="15" spans="1:7">
      <c r="A15" t="s">
        <v>63</v>
      </c>
      <c r="B15" s="62">
        <v>168</v>
      </c>
    </row>
    <row r="16" spans="1:7">
      <c r="B16" s="62"/>
    </row>
    <row r="17" spans="1:6" s="231" customFormat="1">
      <c r="A17" s="231" t="s">
        <v>96</v>
      </c>
      <c r="B17" s="232"/>
    </row>
    <row r="19" spans="1:6">
      <c r="B19" s="169"/>
      <c r="C19" s="170"/>
      <c r="D19" s="169"/>
      <c r="E19" s="62"/>
      <c r="F19" s="169"/>
    </row>
    <row r="20" spans="1:6" s="231" customFormat="1">
      <c r="A20" s="237" t="s">
        <v>116</v>
      </c>
      <c r="B20" s="210" t="s">
        <v>64</v>
      </c>
      <c r="C20" s="208" t="s">
        <v>65</v>
      </c>
      <c r="D20" s="210" t="s">
        <v>66</v>
      </c>
      <c r="E20" s="210" t="s">
        <v>67</v>
      </c>
      <c r="F20" s="210" t="s">
        <v>68</v>
      </c>
    </row>
    <row r="21" spans="1:6">
      <c r="A21" t="s">
        <v>69</v>
      </c>
      <c r="B21" s="209">
        <v>0.56999999999999995</v>
      </c>
      <c r="C21" s="211">
        <v>2.097</v>
      </c>
      <c r="D21" s="169">
        <f>B21*C21</f>
        <v>1.19529</v>
      </c>
      <c r="E21" s="62">
        <f>8/12</f>
        <v>0.66666666666666663</v>
      </c>
      <c r="F21" s="169">
        <f>D21*E21</f>
        <v>0.7968599999999999</v>
      </c>
    </row>
    <row r="22" spans="1:6">
      <c r="A22" t="s">
        <v>70</v>
      </c>
      <c r="B22" s="209">
        <v>0.43</v>
      </c>
      <c r="C22" s="211">
        <v>1.8759999999999999</v>
      </c>
      <c r="D22" s="169">
        <f t="shared" ref="D22" si="0">B22*C22</f>
        <v>0.80667999999999995</v>
      </c>
      <c r="E22" s="62">
        <f>8/12</f>
        <v>0.66666666666666663</v>
      </c>
      <c r="F22" s="169">
        <f>D22*E22</f>
        <v>0.53778666666666664</v>
      </c>
    </row>
    <row r="23" spans="1:6">
      <c r="B23" s="209"/>
      <c r="C23" s="170"/>
      <c r="D23" s="169"/>
      <c r="E23" s="62"/>
      <c r="F23" s="169"/>
    </row>
    <row r="24" spans="1:6" s="231" customFormat="1">
      <c r="A24" s="237" t="s">
        <v>117</v>
      </c>
      <c r="B24" s="210" t="s">
        <v>64</v>
      </c>
      <c r="C24" s="208" t="s">
        <v>65</v>
      </c>
      <c r="D24" s="210" t="s">
        <v>66</v>
      </c>
      <c r="E24" s="210" t="s">
        <v>71</v>
      </c>
      <c r="F24" s="210" t="s">
        <v>68</v>
      </c>
    </row>
    <row r="25" spans="1:6">
      <c r="A25" t="s">
        <v>69</v>
      </c>
      <c r="B25" s="209">
        <f>B6/B14</f>
        <v>0.5714285714285714</v>
      </c>
      <c r="C25" s="211">
        <v>4.0979999999999999</v>
      </c>
      <c r="D25" s="169">
        <f>B25*C25</f>
        <v>2.3417142857142856</v>
      </c>
      <c r="E25" s="62">
        <f>4/12</f>
        <v>0.33333333333333331</v>
      </c>
      <c r="F25" s="169">
        <f>D25*E25</f>
        <v>0.78057142857142847</v>
      </c>
    </row>
    <row r="26" spans="1:6">
      <c r="A26" t="s">
        <v>70</v>
      </c>
      <c r="B26" s="209">
        <f>B12/B14</f>
        <v>0.42857142857142855</v>
      </c>
      <c r="C26" s="211">
        <v>1.9850000000000001</v>
      </c>
      <c r="D26" s="169">
        <f t="shared" ref="D26" si="1">B26*C26</f>
        <v>0.85071428571428576</v>
      </c>
      <c r="E26" s="62">
        <f>4/12</f>
        <v>0.33333333333333331</v>
      </c>
      <c r="F26" s="169">
        <f>D26*E26</f>
        <v>0.28357142857142859</v>
      </c>
    </row>
    <row r="27" spans="1:6" ht="15.75" thickBot="1">
      <c r="C27" s="171"/>
      <c r="D27" s="172"/>
      <c r="E27" s="178" t="s">
        <v>107</v>
      </c>
      <c r="F27" s="212">
        <v>1847597</v>
      </c>
    </row>
    <row r="28" spans="1:6" ht="15.75" thickTop="1"/>
    <row r="29" spans="1:6" ht="15.75" thickBot="1">
      <c r="D29" s="172"/>
      <c r="E29" s="173" t="s">
        <v>72</v>
      </c>
      <c r="F29" s="174">
        <f>(F25+F26+F21+F22)*0.01</f>
        <v>2.3987895238095237E-2</v>
      </c>
    </row>
    <row r="30" spans="1:6" ht="15.75" thickTop="1"/>
    <row r="31" spans="1:6" ht="15.75" thickBot="1">
      <c r="D31" s="172"/>
      <c r="E31" s="173" t="s">
        <v>73</v>
      </c>
      <c r="F31" s="175">
        <f>F29*F27</f>
        <v>44319.963278219046</v>
      </c>
    </row>
    <row r="32" spans="1:6" ht="15.75" thickTop="1"/>
    <row r="33" spans="5:6" ht="15.75" thickBot="1">
      <c r="E33" s="179" t="s">
        <v>79</v>
      </c>
      <c r="F33" s="179" t="s">
        <v>80</v>
      </c>
    </row>
    <row r="34" spans="5:6" ht="15.75" thickTop="1">
      <c r="E34" t="s">
        <v>81</v>
      </c>
      <c r="F34" s="132">
        <v>948269</v>
      </c>
    </row>
    <row r="35" spans="5:6">
      <c r="E35" t="s">
        <v>82</v>
      </c>
      <c r="F35" s="132">
        <v>605204</v>
      </c>
    </row>
    <row r="36" spans="5:6">
      <c r="E36" t="s">
        <v>83</v>
      </c>
      <c r="F36" s="132">
        <v>294124</v>
      </c>
    </row>
    <row r="37" spans="5:6">
      <c r="E37" s="180" t="s">
        <v>78</v>
      </c>
      <c r="F37" s="181">
        <f>SUM(F34:F36)</f>
        <v>1847597</v>
      </c>
    </row>
  </sheetData>
  <mergeCells count="1">
    <mergeCell ref="A1:F1"/>
  </mergeCells>
  <hyperlinks>
    <hyperlink ref="G1" location="Summary!A1" display="Return to Summary"/>
  </hyperlinks>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2017 Dashboard</vt:lpstr>
      <vt:lpstr>2018 Dashboard</vt:lpstr>
      <vt:lpstr>2019 Dashboard</vt:lpstr>
      <vt:lpstr>Solar Credits Donated</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Hoopiiaina, Keven</dc:creator>
  <cp:lastModifiedBy>Fred Nass</cp:lastModifiedBy>
  <cp:lastPrinted>2020-03-18T18:03:21Z</cp:lastPrinted>
  <dcterms:created xsi:type="dcterms:W3CDTF">2018-03-29T13:37:25Z</dcterms:created>
  <dcterms:modified xsi:type="dcterms:W3CDTF">2020-03-25T16:57:36Z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